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wson\Desktop\Monday Board\"/>
    </mc:Choice>
  </mc:AlternateContent>
  <xr:revisionPtr revIDLastSave="0" documentId="13_ncr:1_{97C8CE6C-17E6-475A-9C0A-268BC77BEE3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Games'!$A$1:$L$45</definedName>
    <definedName name="_xlnm.Print_Area" localSheetId="2">Video!$A$1:$K$44</definedName>
    <definedName name="_xlnm.Print_Area" localSheetId="0">'Weekly Summary'!$A$1:$N$47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1" i="2" l="1"/>
  <c r="M42" i="3"/>
  <c r="J42" i="3"/>
  <c r="H42" i="3"/>
  <c r="G42" i="3"/>
  <c r="F42" i="3"/>
  <c r="E42" i="3"/>
  <c r="D42" i="3"/>
  <c r="C42" i="3"/>
  <c r="B42" i="3"/>
  <c r="A42" i="3"/>
  <c r="I41" i="2"/>
  <c r="N42" i="3" s="1"/>
  <c r="A41" i="2"/>
  <c r="I39" i="1"/>
  <c r="H39" i="1"/>
  <c r="F39" i="1"/>
  <c r="E39" i="1"/>
  <c r="J39" i="1" s="1"/>
  <c r="H38" i="1"/>
  <c r="G38" i="1"/>
  <c r="F38" i="1"/>
  <c r="H41" i="3"/>
  <c r="G41" i="3"/>
  <c r="F41" i="3"/>
  <c r="E41" i="3"/>
  <c r="D41" i="3"/>
  <c r="C41" i="3"/>
  <c r="B41" i="3"/>
  <c r="I40" i="2"/>
  <c r="L40" i="2" s="1"/>
  <c r="E38" i="1"/>
  <c r="J38" i="1" s="1"/>
  <c r="H40" i="3"/>
  <c r="G40" i="3"/>
  <c r="F40" i="3"/>
  <c r="E40" i="3"/>
  <c r="D40" i="3"/>
  <c r="C40" i="3"/>
  <c r="B40" i="3"/>
  <c r="I39" i="2"/>
  <c r="L39" i="2" s="1"/>
  <c r="E37" i="1"/>
  <c r="J37" i="1" s="1"/>
  <c r="H39" i="3"/>
  <c r="G39" i="3"/>
  <c r="F39" i="3"/>
  <c r="E39" i="3"/>
  <c r="D39" i="3"/>
  <c r="C39" i="3"/>
  <c r="B39" i="3"/>
  <c r="I38" i="2"/>
  <c r="L38" i="2" s="1"/>
  <c r="E36" i="1"/>
  <c r="F36" i="1" s="1"/>
  <c r="J38" i="3"/>
  <c r="H38" i="3"/>
  <c r="G38" i="3"/>
  <c r="F38" i="3"/>
  <c r="E38" i="3"/>
  <c r="D38" i="3"/>
  <c r="C38" i="3"/>
  <c r="B38" i="3"/>
  <c r="I37" i="2"/>
  <c r="I38" i="3" s="1"/>
  <c r="E35" i="1"/>
  <c r="J35" i="1" s="1"/>
  <c r="H37" i="3"/>
  <c r="G37" i="3"/>
  <c r="F37" i="3"/>
  <c r="E37" i="3"/>
  <c r="D37" i="3"/>
  <c r="C37" i="3"/>
  <c r="B37" i="3"/>
  <c r="I36" i="2"/>
  <c r="K36" i="2" s="1"/>
  <c r="E34" i="1"/>
  <c r="J34" i="1" s="1"/>
  <c r="H36" i="3"/>
  <c r="G36" i="3"/>
  <c r="F36" i="3"/>
  <c r="E36" i="3"/>
  <c r="D36" i="3"/>
  <c r="C36" i="3"/>
  <c r="B36" i="3"/>
  <c r="I35" i="2"/>
  <c r="L35" i="2" s="1"/>
  <c r="E33" i="1"/>
  <c r="J33" i="1" s="1"/>
  <c r="H35" i="3"/>
  <c r="G35" i="3"/>
  <c r="F35" i="3"/>
  <c r="E35" i="3"/>
  <c r="D35" i="3"/>
  <c r="C35" i="3"/>
  <c r="B35" i="3"/>
  <c r="I34" i="2"/>
  <c r="L34" i="2" s="1"/>
  <c r="E32" i="1"/>
  <c r="J32" i="1" s="1"/>
  <c r="H34" i="3"/>
  <c r="G34" i="3"/>
  <c r="F34" i="3"/>
  <c r="E34" i="3"/>
  <c r="D34" i="3"/>
  <c r="C34" i="3"/>
  <c r="B34" i="3"/>
  <c r="I33" i="2"/>
  <c r="I34" i="3" s="1"/>
  <c r="E31" i="1"/>
  <c r="I31" i="1" s="1"/>
  <c r="H33" i="3"/>
  <c r="G33" i="3"/>
  <c r="F33" i="3"/>
  <c r="E33" i="3"/>
  <c r="D33" i="3"/>
  <c r="C33" i="3"/>
  <c r="B33" i="3"/>
  <c r="I32" i="2"/>
  <c r="L32" i="2" s="1"/>
  <c r="E30" i="1"/>
  <c r="J30" i="1" s="1"/>
  <c r="H32" i="3"/>
  <c r="G32" i="3"/>
  <c r="F32" i="3"/>
  <c r="E32" i="3"/>
  <c r="D32" i="3"/>
  <c r="C32" i="3"/>
  <c r="B32" i="3"/>
  <c r="I31" i="2"/>
  <c r="L31" i="2" s="1"/>
  <c r="E29" i="1"/>
  <c r="J29" i="1" s="1"/>
  <c r="H31" i="3"/>
  <c r="G31" i="3"/>
  <c r="F31" i="3"/>
  <c r="E31" i="3"/>
  <c r="D31" i="3"/>
  <c r="C31" i="3"/>
  <c r="B31" i="3"/>
  <c r="I30" i="2"/>
  <c r="L30" i="2" s="1"/>
  <c r="E28" i="1"/>
  <c r="J28" i="1" s="1"/>
  <c r="H30" i="3"/>
  <c r="G30" i="3"/>
  <c r="F30" i="3"/>
  <c r="E30" i="3"/>
  <c r="D30" i="3"/>
  <c r="C30" i="3"/>
  <c r="B30" i="3"/>
  <c r="I29" i="2"/>
  <c r="L29" i="2" s="1"/>
  <c r="E27" i="1"/>
  <c r="J27" i="1" s="1"/>
  <c r="H29" i="3"/>
  <c r="G29" i="3"/>
  <c r="F29" i="3"/>
  <c r="E29" i="3"/>
  <c r="D29" i="3"/>
  <c r="C29" i="3"/>
  <c r="B29" i="3"/>
  <c r="I28" i="2"/>
  <c r="L28" i="2" s="1"/>
  <c r="E26" i="1"/>
  <c r="J26" i="1" s="1"/>
  <c r="H28" i="3"/>
  <c r="G28" i="3"/>
  <c r="F28" i="3"/>
  <c r="E28" i="3"/>
  <c r="D28" i="3"/>
  <c r="C28" i="3"/>
  <c r="B28" i="3"/>
  <c r="E25" i="1"/>
  <c r="J25" i="1" s="1"/>
  <c r="I27" i="2"/>
  <c r="K27" i="2" s="1"/>
  <c r="H27" i="3"/>
  <c r="G27" i="3"/>
  <c r="F27" i="3"/>
  <c r="E27" i="3"/>
  <c r="D27" i="3"/>
  <c r="C27" i="3"/>
  <c r="B27" i="3"/>
  <c r="I26" i="2"/>
  <c r="L26" i="2" s="1"/>
  <c r="E24" i="1"/>
  <c r="J24" i="1" s="1"/>
  <c r="H26" i="3"/>
  <c r="G26" i="3"/>
  <c r="F26" i="3"/>
  <c r="E26" i="3"/>
  <c r="D26" i="3"/>
  <c r="C26" i="3"/>
  <c r="B26" i="3"/>
  <c r="I25" i="2"/>
  <c r="L25" i="2" s="1"/>
  <c r="E23" i="1"/>
  <c r="J23" i="1" s="1"/>
  <c r="H25" i="3"/>
  <c r="G25" i="3"/>
  <c r="F25" i="3"/>
  <c r="E25" i="3"/>
  <c r="D25" i="3"/>
  <c r="C25" i="3"/>
  <c r="B25" i="3"/>
  <c r="I24" i="2"/>
  <c r="L24" i="2" s="1"/>
  <c r="E22" i="1"/>
  <c r="J22" i="1" s="1"/>
  <c r="I42" i="3" l="1"/>
  <c r="J41" i="2"/>
  <c r="K42" i="3" s="1"/>
  <c r="K41" i="2"/>
  <c r="L42" i="3" s="1"/>
  <c r="G39" i="1"/>
  <c r="H36" i="1"/>
  <c r="I36" i="1"/>
  <c r="I40" i="3"/>
  <c r="I41" i="3"/>
  <c r="J41" i="3"/>
  <c r="I38" i="1"/>
  <c r="N41" i="3" s="1"/>
  <c r="J40" i="2"/>
  <c r="K41" i="3" s="1"/>
  <c r="K40" i="2"/>
  <c r="J40" i="3"/>
  <c r="F37" i="1"/>
  <c r="I37" i="1"/>
  <c r="N40" i="3" s="1"/>
  <c r="L41" i="3"/>
  <c r="M41" i="3"/>
  <c r="J39" i="2"/>
  <c r="K39" i="2"/>
  <c r="H37" i="1"/>
  <c r="M40" i="3" s="1"/>
  <c r="G37" i="1"/>
  <c r="I39" i="3"/>
  <c r="N39" i="3"/>
  <c r="G36" i="1"/>
  <c r="J39" i="3"/>
  <c r="J38" i="2"/>
  <c r="K39" i="3" s="1"/>
  <c r="K38" i="2"/>
  <c r="M39" i="3"/>
  <c r="J36" i="1"/>
  <c r="F34" i="1"/>
  <c r="G34" i="1"/>
  <c r="L37" i="3" s="1"/>
  <c r="H34" i="1"/>
  <c r="F33" i="1"/>
  <c r="G35" i="1"/>
  <c r="F32" i="1"/>
  <c r="L33" i="2"/>
  <c r="N34" i="3" s="1"/>
  <c r="L36" i="2"/>
  <c r="L37" i="2"/>
  <c r="J37" i="2"/>
  <c r="K37" i="2"/>
  <c r="L38" i="3" s="1"/>
  <c r="F35" i="1"/>
  <c r="H35" i="1"/>
  <c r="M38" i="3" s="1"/>
  <c r="I35" i="1"/>
  <c r="I34" i="1"/>
  <c r="H32" i="1"/>
  <c r="M35" i="3" s="1"/>
  <c r="I32" i="1"/>
  <c r="I37" i="3"/>
  <c r="J37" i="3"/>
  <c r="J36" i="2"/>
  <c r="K34" i="2"/>
  <c r="L35" i="3" s="1"/>
  <c r="M37" i="3"/>
  <c r="I36" i="3"/>
  <c r="G33" i="1"/>
  <c r="H33" i="1"/>
  <c r="M36" i="3" s="1"/>
  <c r="I33" i="1"/>
  <c r="N36" i="3" s="1"/>
  <c r="J36" i="3"/>
  <c r="J35" i="2"/>
  <c r="K35" i="2"/>
  <c r="H31" i="1"/>
  <c r="M34" i="3" s="1"/>
  <c r="G31" i="1"/>
  <c r="G32" i="1"/>
  <c r="I35" i="3"/>
  <c r="J35" i="3"/>
  <c r="J34" i="2"/>
  <c r="K35" i="3" s="1"/>
  <c r="N35" i="3"/>
  <c r="J34" i="3"/>
  <c r="F31" i="1"/>
  <c r="J33" i="2"/>
  <c r="K33" i="2"/>
  <c r="J31" i="1"/>
  <c r="F30" i="1"/>
  <c r="J33" i="3"/>
  <c r="G30" i="1"/>
  <c r="H30" i="1"/>
  <c r="M33" i="3" s="1"/>
  <c r="I30" i="1"/>
  <c r="N33" i="3"/>
  <c r="I33" i="3"/>
  <c r="J32" i="2"/>
  <c r="K32" i="2"/>
  <c r="G25" i="1"/>
  <c r="L28" i="3" s="1"/>
  <c r="I25" i="1"/>
  <c r="I29" i="1"/>
  <c r="N32" i="3" s="1"/>
  <c r="F28" i="1"/>
  <c r="H28" i="1"/>
  <c r="M31" i="3" s="1"/>
  <c r="J30" i="3"/>
  <c r="I32" i="3"/>
  <c r="H29" i="1"/>
  <c r="M32" i="3" s="1"/>
  <c r="J32" i="3"/>
  <c r="F29" i="1"/>
  <c r="J31" i="2"/>
  <c r="K31" i="2"/>
  <c r="G29" i="1"/>
  <c r="I27" i="1"/>
  <c r="N30" i="3" s="1"/>
  <c r="I31" i="3"/>
  <c r="J31" i="3"/>
  <c r="I28" i="1"/>
  <c r="N31" i="3" s="1"/>
  <c r="K29" i="2"/>
  <c r="K30" i="2"/>
  <c r="J30" i="2"/>
  <c r="G28" i="1"/>
  <c r="I26" i="1"/>
  <c r="N29" i="3" s="1"/>
  <c r="H27" i="1"/>
  <c r="M30" i="3" s="1"/>
  <c r="I30" i="3"/>
  <c r="J29" i="2"/>
  <c r="F27" i="1"/>
  <c r="F26" i="1"/>
  <c r="G27" i="1"/>
  <c r="G26" i="1"/>
  <c r="I29" i="3"/>
  <c r="J29" i="3"/>
  <c r="J28" i="2"/>
  <c r="K28" i="2"/>
  <c r="H26" i="1"/>
  <c r="M29" i="3" s="1"/>
  <c r="I28" i="3"/>
  <c r="F25" i="1"/>
  <c r="J28" i="3"/>
  <c r="H25" i="1"/>
  <c r="M28" i="3" s="1"/>
  <c r="H24" i="1"/>
  <c r="M27" i="3" s="1"/>
  <c r="F24" i="1"/>
  <c r="I24" i="1"/>
  <c r="N27" i="3" s="1"/>
  <c r="L27" i="2"/>
  <c r="J27" i="2"/>
  <c r="I27" i="3"/>
  <c r="G24" i="1"/>
  <c r="J27" i="3"/>
  <c r="K25" i="2"/>
  <c r="J26" i="2"/>
  <c r="K26" i="2"/>
  <c r="J26" i="3"/>
  <c r="F23" i="1"/>
  <c r="G23" i="1"/>
  <c r="I23" i="1"/>
  <c r="N26" i="3" s="1"/>
  <c r="H23" i="1"/>
  <c r="M26" i="3" s="1"/>
  <c r="I26" i="3"/>
  <c r="J25" i="2"/>
  <c r="J25" i="3"/>
  <c r="F22" i="1"/>
  <c r="H22" i="1"/>
  <c r="M25" i="3" s="1"/>
  <c r="I22" i="1"/>
  <c r="N25" i="3" s="1"/>
  <c r="I25" i="3"/>
  <c r="K24" i="2"/>
  <c r="J24" i="2"/>
  <c r="G22" i="1"/>
  <c r="H24" i="3"/>
  <c r="G24" i="3"/>
  <c r="F24" i="3"/>
  <c r="E24" i="3"/>
  <c r="D24" i="3"/>
  <c r="C24" i="3"/>
  <c r="B24" i="3"/>
  <c r="I23" i="2"/>
  <c r="E21" i="1"/>
  <c r="H23" i="3"/>
  <c r="G23" i="3"/>
  <c r="F23" i="3"/>
  <c r="E23" i="3"/>
  <c r="D23" i="3"/>
  <c r="C23" i="3"/>
  <c r="B23" i="3"/>
  <c r="I22" i="2"/>
  <c r="L22" i="2" s="1"/>
  <c r="E20" i="1"/>
  <c r="I20" i="1" s="1"/>
  <c r="K40" i="3" l="1"/>
  <c r="L40" i="3"/>
  <c r="L39" i="3"/>
  <c r="K38" i="3"/>
  <c r="N38" i="3"/>
  <c r="K36" i="3"/>
  <c r="N37" i="3"/>
  <c r="K37" i="3"/>
  <c r="L36" i="3"/>
  <c r="K31" i="3"/>
  <c r="L33" i="3"/>
  <c r="K33" i="3"/>
  <c r="K34" i="3"/>
  <c r="L34" i="3"/>
  <c r="K29" i="3"/>
  <c r="N28" i="3"/>
  <c r="L29" i="3"/>
  <c r="L32" i="3"/>
  <c r="K32" i="3"/>
  <c r="L30" i="3"/>
  <c r="L31" i="3"/>
  <c r="K30" i="3"/>
  <c r="K27" i="3"/>
  <c r="L26" i="3"/>
  <c r="K28" i="3"/>
  <c r="K26" i="3"/>
  <c r="L27" i="3"/>
  <c r="K25" i="3"/>
  <c r="L25" i="3"/>
  <c r="I24" i="3"/>
  <c r="L23" i="2"/>
  <c r="H20" i="1"/>
  <c r="M23" i="3" s="1"/>
  <c r="J24" i="3"/>
  <c r="H21" i="1"/>
  <c r="M24" i="3" s="1"/>
  <c r="F21" i="1"/>
  <c r="J23" i="2"/>
  <c r="K23" i="2"/>
  <c r="I21" i="1"/>
  <c r="G21" i="1"/>
  <c r="J21" i="1"/>
  <c r="F20" i="1"/>
  <c r="I23" i="3"/>
  <c r="N23" i="3"/>
  <c r="J20" i="1"/>
  <c r="J23" i="3"/>
  <c r="J22" i="2"/>
  <c r="K22" i="2"/>
  <c r="G20" i="1"/>
  <c r="H22" i="3"/>
  <c r="G22" i="3"/>
  <c r="F22" i="3"/>
  <c r="E22" i="3"/>
  <c r="D22" i="3"/>
  <c r="C22" i="3"/>
  <c r="B22" i="3"/>
  <c r="I21" i="2"/>
  <c r="L21" i="2" s="1"/>
  <c r="E19" i="1"/>
  <c r="J19" i="1" s="1"/>
  <c r="N24" i="3" l="1"/>
  <c r="K24" i="3"/>
  <c r="K23" i="3"/>
  <c r="L24" i="3"/>
  <c r="L23" i="3"/>
  <c r="K21" i="2"/>
  <c r="F19" i="1"/>
  <c r="I19" i="1"/>
  <c r="I22" i="3"/>
  <c r="G19" i="1"/>
  <c r="J22" i="3"/>
  <c r="H19" i="1"/>
  <c r="M22" i="3" s="1"/>
  <c r="J21" i="2"/>
  <c r="H21" i="3"/>
  <c r="G21" i="3"/>
  <c r="F21" i="3"/>
  <c r="E21" i="3"/>
  <c r="D21" i="3"/>
  <c r="C21" i="3"/>
  <c r="B21" i="3"/>
  <c r="I20" i="2"/>
  <c r="L20" i="2" s="1"/>
  <c r="E18" i="1"/>
  <c r="F18" i="1" s="1"/>
  <c r="K22" i="3" l="1"/>
  <c r="L22" i="3"/>
  <c r="N22" i="3"/>
  <c r="I21" i="3"/>
  <c r="J18" i="1"/>
  <c r="G18" i="1"/>
  <c r="H18" i="1"/>
  <c r="M21" i="3" s="1"/>
  <c r="J21" i="3"/>
  <c r="J20" i="2"/>
  <c r="K21" i="3" s="1"/>
  <c r="K20" i="2"/>
  <c r="I18" i="1"/>
  <c r="N21" i="3" s="1"/>
  <c r="H20" i="3"/>
  <c r="G20" i="3"/>
  <c r="F20" i="3"/>
  <c r="E20" i="3"/>
  <c r="D20" i="3"/>
  <c r="C20" i="3"/>
  <c r="B20" i="3"/>
  <c r="I19" i="2"/>
  <c r="I20" i="3" s="1"/>
  <c r="E17" i="1"/>
  <c r="H19" i="3"/>
  <c r="G19" i="3"/>
  <c r="F19" i="3"/>
  <c r="E19" i="3"/>
  <c r="D19" i="3"/>
  <c r="C19" i="3"/>
  <c r="B19" i="3"/>
  <c r="E16" i="1"/>
  <c r="J16" i="1" s="1"/>
  <c r="I18" i="2"/>
  <c r="J18" i="2" s="1"/>
  <c r="H18" i="3"/>
  <c r="G18" i="3"/>
  <c r="F18" i="3"/>
  <c r="E18" i="3"/>
  <c r="D18" i="3"/>
  <c r="C18" i="3"/>
  <c r="B18" i="3"/>
  <c r="I17" i="2"/>
  <c r="L17" i="2" s="1"/>
  <c r="E15" i="1"/>
  <c r="J18" i="3" s="1"/>
  <c r="L21" i="3" l="1"/>
  <c r="L18" i="2"/>
  <c r="I18" i="3"/>
  <c r="G16" i="1"/>
  <c r="F16" i="1"/>
  <c r="K19" i="3" s="1"/>
  <c r="J17" i="1"/>
  <c r="F17" i="1"/>
  <c r="L19" i="2"/>
  <c r="G17" i="1"/>
  <c r="J20" i="3"/>
  <c r="H17" i="1"/>
  <c r="M20" i="3" s="1"/>
  <c r="I17" i="1"/>
  <c r="J19" i="2"/>
  <c r="K19" i="2"/>
  <c r="H16" i="1"/>
  <c r="M19" i="3" s="1"/>
  <c r="I16" i="1"/>
  <c r="J19" i="3"/>
  <c r="K18" i="2"/>
  <c r="I19" i="3"/>
  <c r="F15" i="1"/>
  <c r="H15" i="1"/>
  <c r="M18" i="3" s="1"/>
  <c r="I15" i="1"/>
  <c r="N18" i="3" s="1"/>
  <c r="J17" i="2"/>
  <c r="K17" i="2"/>
  <c r="J15" i="1"/>
  <c r="G15" i="1"/>
  <c r="K20" i="3" l="1"/>
  <c r="N19" i="3"/>
  <c r="N20" i="3"/>
  <c r="L20" i="3"/>
  <c r="L19" i="3"/>
  <c r="L18" i="3"/>
  <c r="K18" i="3"/>
  <c r="H17" i="3"/>
  <c r="G17" i="3"/>
  <c r="F17" i="3"/>
  <c r="E17" i="3"/>
  <c r="D17" i="3"/>
  <c r="C17" i="3"/>
  <c r="B17" i="3"/>
  <c r="E14" i="1"/>
  <c r="J14" i="1" s="1"/>
  <c r="I16" i="2"/>
  <c r="I17" i="3" s="1"/>
  <c r="H16" i="3"/>
  <c r="G16" i="3"/>
  <c r="F16" i="3"/>
  <c r="E16" i="3"/>
  <c r="D16" i="3"/>
  <c r="C16" i="3"/>
  <c r="B16" i="3"/>
  <c r="E13" i="1"/>
  <c r="J13" i="1" s="1"/>
  <c r="I15" i="2"/>
  <c r="I16" i="3" s="1"/>
  <c r="H15" i="3"/>
  <c r="G15" i="3"/>
  <c r="F15" i="3"/>
  <c r="E15" i="3"/>
  <c r="D15" i="3"/>
  <c r="C15" i="3"/>
  <c r="B15" i="3"/>
  <c r="I14" i="2"/>
  <c r="I15" i="3" s="1"/>
  <c r="E12" i="1"/>
  <c r="J12" i="1" s="1"/>
  <c r="H14" i="3"/>
  <c r="G14" i="3"/>
  <c r="F14" i="3"/>
  <c r="E14" i="3"/>
  <c r="D14" i="3"/>
  <c r="C14" i="3"/>
  <c r="B14" i="3"/>
  <c r="I13" i="2"/>
  <c r="L13" i="2" s="1"/>
  <c r="E11" i="1"/>
  <c r="F11" i="1" s="1"/>
  <c r="H13" i="1" l="1"/>
  <c r="M16" i="3" s="1"/>
  <c r="J17" i="3"/>
  <c r="L16" i="2"/>
  <c r="G12" i="1"/>
  <c r="F14" i="1"/>
  <c r="I14" i="1"/>
  <c r="G13" i="1"/>
  <c r="G14" i="1"/>
  <c r="H14" i="1"/>
  <c r="M17" i="3" s="1"/>
  <c r="L14" i="2"/>
  <c r="L15" i="2"/>
  <c r="J16" i="2"/>
  <c r="K17" i="3" s="1"/>
  <c r="K16" i="2"/>
  <c r="J16" i="3"/>
  <c r="F13" i="1"/>
  <c r="I13" i="1"/>
  <c r="J15" i="2"/>
  <c r="K15" i="2"/>
  <c r="J15" i="3"/>
  <c r="H12" i="1"/>
  <c r="M15" i="3" s="1"/>
  <c r="J14" i="2"/>
  <c r="K14" i="2"/>
  <c r="F12" i="1"/>
  <c r="H11" i="1"/>
  <c r="M14" i="3" s="1"/>
  <c r="I12" i="1"/>
  <c r="J14" i="3"/>
  <c r="G11" i="1"/>
  <c r="I14" i="3"/>
  <c r="K13" i="2"/>
  <c r="J13" i="2"/>
  <c r="K14" i="3" s="1"/>
  <c r="I11" i="1"/>
  <c r="N14" i="3" s="1"/>
  <c r="J11" i="1"/>
  <c r="H13" i="3"/>
  <c r="G13" i="3"/>
  <c r="F13" i="3"/>
  <c r="E13" i="3"/>
  <c r="D13" i="3"/>
  <c r="C13" i="3"/>
  <c r="B13" i="3"/>
  <c r="E10" i="1"/>
  <c r="I12" i="2"/>
  <c r="L12" i="2" s="1"/>
  <c r="H12" i="3"/>
  <c r="G12" i="3"/>
  <c r="F12" i="3"/>
  <c r="E12" i="3"/>
  <c r="D12" i="3"/>
  <c r="C12" i="3"/>
  <c r="B12" i="3"/>
  <c r="I11" i="2"/>
  <c r="J11" i="2" s="1"/>
  <c r="E9" i="1"/>
  <c r="J9" i="1" s="1"/>
  <c r="A8" i="1"/>
  <c r="A11" i="3" s="1"/>
  <c r="H11" i="3"/>
  <c r="G11" i="3"/>
  <c r="F11" i="3"/>
  <c r="E11" i="3"/>
  <c r="D11" i="3"/>
  <c r="C11" i="3"/>
  <c r="B11" i="3"/>
  <c r="E8" i="1"/>
  <c r="J8" i="1" s="1"/>
  <c r="I10" i="2"/>
  <c r="L10" i="2" s="1"/>
  <c r="L11" i="2" l="1"/>
  <c r="N17" i="3"/>
  <c r="L16" i="3"/>
  <c r="N15" i="3"/>
  <c r="N16" i="3"/>
  <c r="I12" i="3"/>
  <c r="L15" i="3"/>
  <c r="L17" i="3"/>
  <c r="K15" i="3"/>
  <c r="K16" i="3"/>
  <c r="L14" i="3"/>
  <c r="H10" i="1"/>
  <c r="M13" i="3" s="1"/>
  <c r="G10" i="1"/>
  <c r="F9" i="1"/>
  <c r="K12" i="3" s="1"/>
  <c r="G9" i="1"/>
  <c r="H8" i="1"/>
  <c r="M11" i="3" s="1"/>
  <c r="J10" i="1"/>
  <c r="F10" i="1"/>
  <c r="J13" i="3"/>
  <c r="I13" i="3"/>
  <c r="H9" i="1"/>
  <c r="M12" i="3" s="1"/>
  <c r="I9" i="1"/>
  <c r="I10" i="1"/>
  <c r="N13" i="3" s="1"/>
  <c r="A10" i="2"/>
  <c r="J12" i="2"/>
  <c r="K12" i="2"/>
  <c r="J12" i="3"/>
  <c r="K11" i="2"/>
  <c r="F8" i="1"/>
  <c r="I8" i="1"/>
  <c r="N11" i="3" s="1"/>
  <c r="A9" i="1"/>
  <c r="A10" i="1" s="1"/>
  <c r="A11" i="1" s="1"/>
  <c r="J11" i="3"/>
  <c r="I11" i="3"/>
  <c r="G8" i="1"/>
  <c r="J10" i="2"/>
  <c r="K10" i="2"/>
  <c r="A9" i="2"/>
  <c r="A10" i="3"/>
  <c r="H10" i="3"/>
  <c r="G10" i="3"/>
  <c r="F10" i="3"/>
  <c r="E10" i="3"/>
  <c r="D10" i="3"/>
  <c r="C10" i="3"/>
  <c r="B10" i="3"/>
  <c r="E7" i="1"/>
  <c r="I7" i="1" s="1"/>
  <c r="N12" i="3" l="1"/>
  <c r="L12" i="3"/>
  <c r="A14" i="3"/>
  <c r="A12" i="1"/>
  <c r="A13" i="2"/>
  <c r="A13" i="3"/>
  <c r="A12" i="2"/>
  <c r="K13" i="3"/>
  <c r="L13" i="3"/>
  <c r="K11" i="3"/>
  <c r="A12" i="3"/>
  <c r="A11" i="2"/>
  <c r="J10" i="3"/>
  <c r="L11" i="3"/>
  <c r="J7" i="1"/>
  <c r="F7" i="1"/>
  <c r="H7" i="1"/>
  <c r="M10" i="3" s="1"/>
  <c r="G7" i="1"/>
  <c r="A15" i="3" l="1"/>
  <c r="A13" i="1"/>
  <c r="A14" i="2"/>
  <c r="I9" i="2"/>
  <c r="A8" i="2"/>
  <c r="A9" i="3"/>
  <c r="A14" i="1" l="1"/>
  <c r="A15" i="1" s="1"/>
  <c r="A16" i="3"/>
  <c r="A15" i="2"/>
  <c r="L9" i="2"/>
  <c r="N10" i="3" s="1"/>
  <c r="I10" i="3"/>
  <c r="J9" i="2"/>
  <c r="K10" i="3" s="1"/>
  <c r="K9" i="2"/>
  <c r="L10" i="3" s="1"/>
  <c r="B43" i="2"/>
  <c r="C43" i="2"/>
  <c r="D43" i="2"/>
  <c r="A16" i="1" l="1"/>
  <c r="A18" i="3"/>
  <c r="A17" i="2"/>
  <c r="A17" i="3"/>
  <c r="A16" i="2"/>
  <c r="B41" i="1"/>
  <c r="A19" i="3" l="1"/>
  <c r="A17" i="1"/>
  <c r="A18" i="2"/>
  <c r="C9" i="3"/>
  <c r="C44" i="3" s="1"/>
  <c r="D9" i="3"/>
  <c r="D44" i="3" s="1"/>
  <c r="E9" i="3"/>
  <c r="E44" i="3" s="1"/>
  <c r="F9" i="3"/>
  <c r="F44" i="3" s="1"/>
  <c r="G9" i="3"/>
  <c r="G44" i="3" s="1"/>
  <c r="H9" i="3"/>
  <c r="H44" i="3" s="1"/>
  <c r="B9" i="3"/>
  <c r="B44" i="3" s="1"/>
  <c r="A18" i="1" l="1"/>
  <c r="A19" i="2"/>
  <c r="A20" i="3"/>
  <c r="E43" i="2"/>
  <c r="F43" i="2"/>
  <c r="G43" i="2"/>
  <c r="H43" i="2"/>
  <c r="K41" i="1"/>
  <c r="C41" i="1"/>
  <c r="D41" i="1"/>
  <c r="I8" i="2"/>
  <c r="L8" i="2" s="1"/>
  <c r="I2" i="2"/>
  <c r="A19" i="1" l="1"/>
  <c r="A21" i="3"/>
  <c r="A20" i="2"/>
  <c r="L43" i="2"/>
  <c r="I41" i="1"/>
  <c r="G41" i="1"/>
  <c r="F41" i="1"/>
  <c r="K8" i="2"/>
  <c r="K43" i="2" s="1"/>
  <c r="J8" i="2"/>
  <c r="J43" i="2" s="1"/>
  <c r="J6" i="1"/>
  <c r="J41" i="1" s="1"/>
  <c r="I43" i="2"/>
  <c r="J9" i="3"/>
  <c r="J44" i="3" s="1"/>
  <c r="E41" i="1"/>
  <c r="I9" i="3"/>
  <c r="I44" i="3" s="1"/>
  <c r="A20" i="1" l="1"/>
  <c r="A22" i="3"/>
  <c r="A21" i="2"/>
  <c r="N9" i="3"/>
  <c r="N44" i="3" s="1"/>
  <c r="M9" i="3"/>
  <c r="M44" i="3" s="1"/>
  <c r="H41" i="1"/>
  <c r="K9" i="3"/>
  <c r="K44" i="3" s="1"/>
  <c r="L9" i="3"/>
  <c r="L44" i="3" s="1"/>
  <c r="A23" i="3" l="1"/>
  <c r="A22" i="2"/>
  <c r="A21" i="1"/>
  <c r="A22" i="1" l="1"/>
  <c r="A24" i="3"/>
  <c r="A23" i="2"/>
  <c r="A25" i="3" l="1"/>
  <c r="A24" i="2"/>
  <c r="A23" i="1"/>
  <c r="A26" i="3" l="1"/>
  <c r="A24" i="1"/>
  <c r="A25" i="2"/>
  <c r="A27" i="3" l="1"/>
  <c r="A25" i="1"/>
  <c r="A26" i="2"/>
  <c r="A26" i="1" l="1"/>
  <c r="A28" i="3"/>
  <c r="A27" i="2"/>
  <c r="A27" i="1" l="1"/>
  <c r="A29" i="3"/>
  <c r="A28" i="2"/>
  <c r="A29" i="2" l="1"/>
  <c r="A28" i="1"/>
  <c r="A30" i="3"/>
  <c r="A31" i="3" l="1"/>
  <c r="A30" i="2"/>
  <c r="A29" i="1"/>
  <c r="A32" i="3" l="1"/>
  <c r="A31" i="2"/>
  <c r="A30" i="1"/>
  <c r="A33" i="3" l="1"/>
  <c r="A32" i="2"/>
  <c r="A31" i="1"/>
  <c r="A34" i="3" l="1"/>
  <c r="A33" i="2"/>
  <c r="A32" i="1"/>
  <c r="A33" i="1" l="1"/>
  <c r="A34" i="2"/>
  <c r="A35" i="3"/>
  <c r="A34" i="1" l="1"/>
  <c r="A36" i="3"/>
  <c r="A35" i="2"/>
  <c r="A37" i="3" l="1"/>
  <c r="A35" i="1"/>
  <c r="A36" i="2"/>
  <c r="A38" i="3" l="1"/>
  <c r="A37" i="2"/>
  <c r="A36" i="1"/>
  <c r="A38" i="2" l="1"/>
  <c r="A37" i="1"/>
  <c r="A39" i="3"/>
  <c r="A40" i="3" l="1"/>
  <c r="A38" i="1"/>
  <c r="A39" i="2"/>
  <c r="A41" i="3" l="1"/>
  <c r="A40" i="2"/>
  <c r="A39" i="1"/>
</calcChain>
</file>

<file path=xl/sharedStrings.xml><?xml version="1.0" encoding="utf-8"?>
<sst xmlns="http://schemas.openxmlformats.org/spreadsheetml/2006/main" count="48" uniqueCount="36">
  <si>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</si>
  <si>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</si>
  <si>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</si>
  <si>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</si>
  <si>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</si>
  <si>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</si>
  <si>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</si>
  <si>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</si>
  <si>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</si>
  <si>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</si>
  <si>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</si>
  <si>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</si>
  <si>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</si>
  <si>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</si>
  <si>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</si>
  <si>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</si>
  <si>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</si>
  <si>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</si>
  <si>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</si>
  <si>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</si>
  <si>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</si>
  <si>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</si>
  <si>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</si>
  <si>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</si>
  <si>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</si>
  <si>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</si>
  <si>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</si>
  <si>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</si>
  <si>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</si>
  <si>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</si>
  <si>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 xml:space="preserve"> </t>
  </si>
  <si>
    <t xml:space="preserve">  *  Represents 5 days to start the fiscal year.</t>
  </si>
  <si>
    <t>FY2025</t>
  </si>
  <si>
    <t>FISCAL YEAR 2026</t>
  </si>
  <si>
    <t>7/5/2025 *</t>
  </si>
  <si>
    <t xml:space="preserve"> FOR THE WEEK ENDING FEBRUARY 21,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</si>
</sst>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zoomScaleNormal="100" workbookViewId="0">
      <pane ySplit="7" topLeftCell="A19" activePane="bottomLeft" state="frozen"/>
      <selection pane="bottomLeft" activeCell="A44" sqref="A44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tr">
        <f>Video!A6</f>
        <v>7/5/2025 *</v>
      </c>
      <c r="B9" s="6">
        <f>'Table Games'!B8</f>
        <v>52513</v>
      </c>
      <c r="C9" s="6">
        <f>'Table Games'!C8</f>
        <v>-2279</v>
      </c>
      <c r="D9" s="6">
        <f>'Table Games'!D8</f>
        <v>0</v>
      </c>
      <c r="E9" s="6">
        <f>'Table Games'!E8</f>
        <v>0</v>
      </c>
      <c r="F9" s="6">
        <f>'Table Games'!F8</f>
        <v>4589</v>
      </c>
      <c r="G9" s="6">
        <f>'Table Games'!G8</f>
        <v>0</v>
      </c>
      <c r="H9" s="6">
        <f>'Table Games'!H8</f>
        <v>4479</v>
      </c>
      <c r="I9" s="6">
        <f>'Table Games'!I8</f>
        <v>59302</v>
      </c>
      <c r="J9" s="6">
        <f>Video!E6</f>
        <v>36603.480000000025</v>
      </c>
      <c r="K9" s="6">
        <f>'Table Games'!J8+Video!F6</f>
        <v>30967.86</v>
      </c>
      <c r="L9" s="6">
        <f>'Table Games'!K8+Video!G6</f>
        <v>9187.69</v>
      </c>
      <c r="M9" s="6">
        <f>Video!H6</f>
        <v>1720.3600000000001</v>
      </c>
      <c r="N9" s="6">
        <f>'Table Games'!L8+Video!I6</f>
        <v>54029.570000000007</v>
      </c>
    </row>
    <row r="10" spans="1:14" ht="15" customHeight="1" x14ac:dyDescent="0.25">
      <c r="A10" s="10">
        <f>Video!A7</f>
        <v>45850</v>
      </c>
      <c r="B10" s="6">
        <f>'Table Games'!B9</f>
        <v>55388</v>
      </c>
      <c r="C10" s="6">
        <f>'Table Games'!C9</f>
        <v>4622</v>
      </c>
      <c r="D10" s="6">
        <f>'Table Games'!D9</f>
        <v>0</v>
      </c>
      <c r="E10" s="6">
        <f>'Table Games'!E9</f>
        <v>0</v>
      </c>
      <c r="F10" s="6">
        <f>'Table Games'!F9</f>
        <v>17497</v>
      </c>
      <c r="G10" s="6">
        <f>'Table Games'!G9</f>
        <v>6575</v>
      </c>
      <c r="H10" s="6">
        <f>'Table Games'!H9</f>
        <v>2811</v>
      </c>
      <c r="I10" s="6">
        <f>'Table Games'!I9</f>
        <v>86893</v>
      </c>
      <c r="J10" s="6">
        <f>Video!E7</f>
        <v>53708.339999999967</v>
      </c>
      <c r="K10" s="6">
        <f>'Table Games'!J9+Video!F7</f>
        <v>45402.880000000005</v>
      </c>
      <c r="L10" s="6">
        <f>'Table Games'!K9+Video!G7</f>
        <v>13475.07</v>
      </c>
      <c r="M10" s="6">
        <f>Video!H7</f>
        <v>2524.3000000000002</v>
      </c>
      <c r="N10" s="6">
        <f>'Table Games'!L9+Video!I7</f>
        <v>79199.09</v>
      </c>
    </row>
    <row r="11" spans="1:14" ht="15" customHeight="1" x14ac:dyDescent="0.25">
      <c r="A11" s="10">
        <f>Video!A8</f>
        <v>45857</v>
      </c>
      <c r="B11" s="6">
        <f>'Table Games'!B10</f>
        <v>-62034.5</v>
      </c>
      <c r="C11" s="6">
        <f>'Table Games'!C10</f>
        <v>58278</v>
      </c>
      <c r="D11" s="6">
        <f>'Table Games'!D10</f>
        <v>1018.75</v>
      </c>
      <c r="E11" s="6">
        <f>'Table Games'!E10</f>
        <v>0</v>
      </c>
      <c r="F11" s="6">
        <f>'Table Games'!F10</f>
        <v>3133</v>
      </c>
      <c r="G11" s="6">
        <f>'Table Games'!G10</f>
        <v>0</v>
      </c>
      <c r="H11" s="6">
        <f>'Table Games'!H10</f>
        <v>681</v>
      </c>
      <c r="I11" s="6">
        <f>'Table Games'!I10</f>
        <v>1076.25</v>
      </c>
      <c r="J11" s="6">
        <f>Video!E8</f>
        <v>-47803.130000000005</v>
      </c>
      <c r="K11" s="6">
        <f>'Table Games'!J10+Video!F8</f>
        <v>-16886.23</v>
      </c>
      <c r="L11" s="6">
        <f>'Table Games'!K10+Video!G8</f>
        <v>-8072.7199999999993</v>
      </c>
      <c r="M11" s="6">
        <f>Video!H8</f>
        <v>-2246.7600000000002</v>
      </c>
      <c r="N11" s="6">
        <f>'Table Games'!L10+Video!I8</f>
        <v>-19521.169999999998</v>
      </c>
    </row>
    <row r="12" spans="1:14" ht="15" customHeight="1" x14ac:dyDescent="0.25">
      <c r="A12" s="10">
        <f>Video!A9</f>
        <v>45864</v>
      </c>
      <c r="B12" s="6">
        <f>'Table Games'!B11</f>
        <v>135325.5</v>
      </c>
      <c r="C12" s="6">
        <f>'Table Games'!C11</f>
        <v>-23329</v>
      </c>
      <c r="D12" s="6">
        <f>'Table Games'!D11</f>
        <v>0</v>
      </c>
      <c r="E12" s="6">
        <f>'Table Games'!E11</f>
        <v>0</v>
      </c>
      <c r="F12" s="6">
        <f>'Table Games'!F11</f>
        <v>11822</v>
      </c>
      <c r="G12" s="6">
        <f>'Table Games'!G11</f>
        <v>0</v>
      </c>
      <c r="H12" s="6">
        <f>'Table Games'!H11</f>
        <v>17617</v>
      </c>
      <c r="I12" s="6">
        <f>'Table Games'!I11</f>
        <v>141435.5</v>
      </c>
      <c r="J12" s="6">
        <f>Video!E9</f>
        <v>74913.050000000047</v>
      </c>
      <c r="K12" s="6">
        <f>'Table Games'!J11+Video!F9</f>
        <v>69399.360000000001</v>
      </c>
      <c r="L12" s="6">
        <f>'Table Games'!K11+Video!G9</f>
        <v>19806.989999999998</v>
      </c>
      <c r="M12" s="6">
        <f>Video!H9</f>
        <v>3520.91</v>
      </c>
      <c r="N12" s="6">
        <f>'Table Games'!L11+Video!I9</f>
        <v>123621.29000000001</v>
      </c>
    </row>
    <row r="13" spans="1:14" ht="15" customHeight="1" x14ac:dyDescent="0.25">
      <c r="A13" s="10">
        <f>Video!A10</f>
        <v>45871</v>
      </c>
      <c r="B13" s="6">
        <f>'Table Games'!B12</f>
        <v>79056</v>
      </c>
      <c r="C13" s="6">
        <f>'Table Games'!C12</f>
        <v>52781</v>
      </c>
      <c r="D13" s="6">
        <f>'Table Games'!D12</f>
        <v>3865</v>
      </c>
      <c r="E13" s="6">
        <f>'Table Games'!E12</f>
        <v>0</v>
      </c>
      <c r="F13" s="6">
        <f>'Table Games'!F12</f>
        <v>10669</v>
      </c>
      <c r="G13" s="6">
        <f>'Table Games'!G12</f>
        <v>-49925</v>
      </c>
      <c r="H13" s="6">
        <f>'Table Games'!H12</f>
        <v>9896</v>
      </c>
      <c r="I13" s="6">
        <f>'Table Games'!I12</f>
        <v>106342</v>
      </c>
      <c r="J13" s="6">
        <f>Video!E10</f>
        <v>127307.58999999985</v>
      </c>
      <c r="K13" s="6">
        <f>'Table Games'!J12+Video!F10</f>
        <v>77733.33</v>
      </c>
      <c r="L13" s="6">
        <f>'Table Games'!K12+Video!G10</f>
        <v>26959.4</v>
      </c>
      <c r="M13" s="6">
        <f>Video!H10</f>
        <v>5983.45</v>
      </c>
      <c r="N13" s="6">
        <f>'Table Games'!L12+Video!I10</f>
        <v>122973.41</v>
      </c>
    </row>
    <row r="14" spans="1:14" ht="15" customHeight="1" x14ac:dyDescent="0.25">
      <c r="A14" s="10">
        <f>Video!A11</f>
        <v>45878</v>
      </c>
      <c r="B14" s="6">
        <f>'Table Games'!B13</f>
        <v>117258.5</v>
      </c>
      <c r="C14" s="6">
        <f>'Table Games'!C13</f>
        <v>-22058</v>
      </c>
      <c r="D14" s="6">
        <f>'Table Games'!D13</f>
        <v>9292</v>
      </c>
      <c r="E14" s="6">
        <f>'Table Games'!E13</f>
        <v>0</v>
      </c>
      <c r="F14" s="6">
        <f>'Table Games'!F13</f>
        <v>5990</v>
      </c>
      <c r="G14" s="6">
        <f>'Table Games'!G13</f>
        <v>-15475</v>
      </c>
      <c r="H14" s="6">
        <f>'Table Games'!H13</f>
        <v>2391</v>
      </c>
      <c r="I14" s="6">
        <f>'Table Games'!I13</f>
        <v>97398.5</v>
      </c>
      <c r="J14" s="6">
        <f>Video!E11</f>
        <v>51203.669999999925</v>
      </c>
      <c r="K14" s="6">
        <f>'Table Games'!J13+Video!F11</f>
        <v>47652.869999999995</v>
      </c>
      <c r="L14" s="6">
        <f>'Table Games'!K13+Video!G11</f>
        <v>13574.550000000001</v>
      </c>
      <c r="M14" s="6">
        <f>Video!H11</f>
        <v>2406.5800000000004</v>
      </c>
      <c r="N14" s="6">
        <f>'Table Games'!L13+Video!I11</f>
        <v>84968.17</v>
      </c>
    </row>
    <row r="15" spans="1:14" ht="15" customHeight="1" x14ac:dyDescent="0.25">
      <c r="A15" s="10">
        <f>Video!A12</f>
        <v>45885</v>
      </c>
      <c r="B15" s="6">
        <f>'Table Games'!B14</f>
        <v>-5502</v>
      </c>
      <c r="C15" s="6">
        <f>'Table Games'!C14</f>
        <v>21413</v>
      </c>
      <c r="D15" s="6">
        <f>'Table Games'!D14</f>
        <v>0</v>
      </c>
      <c r="E15" s="6">
        <f>'Table Games'!E14</f>
        <v>0</v>
      </c>
      <c r="F15" s="6">
        <f>'Table Games'!F14</f>
        <v>1696.5</v>
      </c>
      <c r="G15" s="6">
        <f>'Table Games'!G14</f>
        <v>15549</v>
      </c>
      <c r="H15" s="6">
        <f>'Table Games'!H14</f>
        <v>-7062</v>
      </c>
      <c r="I15" s="6">
        <f>'Table Games'!I14</f>
        <v>26094.5</v>
      </c>
      <c r="J15" s="6">
        <f>Video!E12</f>
        <v>60061.780000000028</v>
      </c>
      <c r="K15" s="6">
        <f>'Table Games'!J14+Video!F12</f>
        <v>29450.590000000004</v>
      </c>
      <c r="L15" s="6">
        <f>'Table Games'!K14+Video!G12</f>
        <v>11515.24</v>
      </c>
      <c r="M15" s="6">
        <f>Video!H12</f>
        <v>2822.9</v>
      </c>
      <c r="N15" s="6">
        <f>'Table Games'!L14+Video!I12</f>
        <v>42367.55</v>
      </c>
    </row>
    <row r="16" spans="1:14" ht="15" customHeight="1" x14ac:dyDescent="0.25">
      <c r="A16" s="10">
        <f>Video!A13</f>
        <v>45892</v>
      </c>
      <c r="B16" s="6">
        <f>'Table Games'!B15</f>
        <v>-15660</v>
      </c>
      <c r="C16" s="6">
        <f>'Table Games'!C15</f>
        <v>-3696</v>
      </c>
      <c r="D16" s="6">
        <f>'Table Games'!D15</f>
        <v>17636.5</v>
      </c>
      <c r="E16" s="6">
        <f>'Table Games'!E15</f>
        <v>0</v>
      </c>
      <c r="F16" s="6">
        <f>'Table Games'!F15</f>
        <v>17177</v>
      </c>
      <c r="G16" s="6">
        <f>'Table Games'!G15</f>
        <v>0</v>
      </c>
      <c r="H16" s="6">
        <f>'Table Games'!H15</f>
        <v>12693</v>
      </c>
      <c r="I16" s="6">
        <f>'Table Games'!I15</f>
        <v>28150.5</v>
      </c>
      <c r="J16" s="6">
        <f>Video!E13</f>
        <v>143329.58000000007</v>
      </c>
      <c r="K16" s="6">
        <f>'Table Games'!J15+Video!F13</f>
        <v>60043.8</v>
      </c>
      <c r="L16" s="6">
        <f>'Table Games'!K15+Video!G13</f>
        <v>25773.55</v>
      </c>
      <c r="M16" s="6">
        <f>Video!H13</f>
        <v>6736.5</v>
      </c>
      <c r="N16" s="6">
        <f>'Table Games'!L15+Video!I13</f>
        <v>78926.23000000001</v>
      </c>
    </row>
    <row r="17" spans="1:14" ht="15" customHeight="1" x14ac:dyDescent="0.25">
      <c r="A17" s="10">
        <f>Video!A14</f>
        <v>45899</v>
      </c>
      <c r="B17" s="6">
        <f>'Table Games'!B16</f>
        <v>79000.5</v>
      </c>
      <c r="C17" s="6">
        <f>'Table Games'!C16</f>
        <v>-19084</v>
      </c>
      <c r="D17" s="6">
        <f>'Table Games'!D16</f>
        <v>0</v>
      </c>
      <c r="E17" s="6">
        <f>'Table Games'!E16</f>
        <v>0</v>
      </c>
      <c r="F17" s="6">
        <f>'Table Games'!F16</f>
        <v>8217</v>
      </c>
      <c r="G17" s="6">
        <f>'Table Games'!G16</f>
        <v>0</v>
      </c>
      <c r="H17" s="6">
        <f>'Table Games'!H16</f>
        <v>19215</v>
      </c>
      <c r="I17" s="6">
        <f>'Table Games'!I16</f>
        <v>87348.5</v>
      </c>
      <c r="J17" s="6">
        <f>Video!E14</f>
        <v>71187.289999999921</v>
      </c>
      <c r="K17" s="6">
        <f>'Table Games'!J16+Video!F14</f>
        <v>51831.99</v>
      </c>
      <c r="L17" s="6">
        <f>'Table Games'!K16+Video!G14</f>
        <v>16469.27</v>
      </c>
      <c r="M17" s="6">
        <f>Video!H14</f>
        <v>3345.8</v>
      </c>
      <c r="N17" s="6">
        <f>'Table Games'!L16+Video!I14</f>
        <v>86888.73</v>
      </c>
    </row>
    <row r="18" spans="1:14" ht="15" customHeight="1" x14ac:dyDescent="0.25">
      <c r="A18" s="10">
        <f>Video!A15</f>
        <v>45906</v>
      </c>
      <c r="B18" s="6">
        <f>'Table Games'!B17</f>
        <v>9754</v>
      </c>
      <c r="C18" s="6">
        <f>'Table Games'!C17</f>
        <v>4593</v>
      </c>
      <c r="D18" s="6">
        <f>'Table Games'!D17</f>
        <v>0</v>
      </c>
      <c r="E18" s="6">
        <f>'Table Games'!E17</f>
        <v>0</v>
      </c>
      <c r="F18" s="6">
        <f>'Table Games'!F17</f>
        <v>5209</v>
      </c>
      <c r="G18" s="6">
        <f>'Table Games'!G17</f>
        <v>0</v>
      </c>
      <c r="H18" s="6">
        <f>'Table Games'!H17</f>
        <v>5367</v>
      </c>
      <c r="I18" s="6">
        <f>'Table Games'!I17</f>
        <v>24923</v>
      </c>
      <c r="J18" s="6">
        <f>Video!E15</f>
        <v>4721.7500000000582</v>
      </c>
      <c r="K18" s="6">
        <f>'Table Games'!J17+Video!F15</f>
        <v>9176.7099999999991</v>
      </c>
      <c r="L18" s="6">
        <f>'Table Games'!K17+Video!G15</f>
        <v>2048.8500000000004</v>
      </c>
      <c r="M18" s="6">
        <f>Video!H15</f>
        <v>221.92999999999998</v>
      </c>
      <c r="N18" s="6">
        <f>'Table Games'!L17+Video!I15</f>
        <v>18197.260000000002</v>
      </c>
    </row>
    <row r="19" spans="1:14" ht="15" customHeight="1" x14ac:dyDescent="0.25">
      <c r="A19" s="10">
        <f>Video!A16</f>
        <v>45913</v>
      </c>
      <c r="B19" s="6">
        <f>'Table Games'!B18</f>
        <v>-4277.5</v>
      </c>
      <c r="C19" s="6">
        <f>'Table Games'!C18</f>
        <v>13317</v>
      </c>
      <c r="D19" s="6">
        <f>'Table Games'!D18</f>
        <v>0</v>
      </c>
      <c r="E19" s="6">
        <f>'Table Games'!E18</f>
        <v>0</v>
      </c>
      <c r="F19" s="6">
        <f>'Table Games'!F18</f>
        <v>-5476</v>
      </c>
      <c r="G19" s="6">
        <f>'Table Games'!G18</f>
        <v>0</v>
      </c>
      <c r="H19" s="6">
        <f>'Table Games'!H18</f>
        <v>3088</v>
      </c>
      <c r="I19" s="6">
        <f>'Table Games'!I18</f>
        <v>6651.5</v>
      </c>
      <c r="J19" s="6">
        <f>Video!E16</f>
        <v>14566.770000000077</v>
      </c>
      <c r="K19" s="6">
        <f>'Table Games'!J18+Video!F16</f>
        <v>7239.46</v>
      </c>
      <c r="L19" s="6">
        <f>'Table Games'!K18+Video!G16</f>
        <v>2808.94</v>
      </c>
      <c r="M19" s="6">
        <f>Video!H16</f>
        <v>684.65</v>
      </c>
      <c r="N19" s="6">
        <f>'Table Games'!L18+Video!I16</f>
        <v>10485.219999999999</v>
      </c>
    </row>
    <row r="20" spans="1:14" ht="15" customHeight="1" x14ac:dyDescent="0.25">
      <c r="A20" s="10">
        <f>Video!A17</f>
        <v>45920</v>
      </c>
      <c r="B20" s="6">
        <f>'Table Games'!B19</f>
        <v>31369</v>
      </c>
      <c r="C20" s="6">
        <f>'Table Games'!C19</f>
        <v>-21909</v>
      </c>
      <c r="D20" s="6">
        <f>'Table Games'!D19</f>
        <v>0</v>
      </c>
      <c r="E20" s="6">
        <f>'Table Games'!E19</f>
        <v>0</v>
      </c>
      <c r="F20" s="6">
        <f>'Table Games'!F19</f>
        <v>20026</v>
      </c>
      <c r="G20" s="6">
        <f>'Table Games'!G19</f>
        <v>0</v>
      </c>
      <c r="H20" s="6">
        <f>'Table Games'!H19</f>
        <v>9666</v>
      </c>
      <c r="I20" s="6">
        <f>'Table Games'!I19</f>
        <v>39152</v>
      </c>
      <c r="J20" s="6">
        <f>Video!E17</f>
        <v>53644.800000000047</v>
      </c>
      <c r="K20" s="6">
        <f>'Table Games'!J19+Video!F17</f>
        <v>31057.72</v>
      </c>
      <c r="L20" s="6">
        <f>'Table Games'!K19+Video!G17</f>
        <v>11077.220000000001</v>
      </c>
      <c r="M20" s="6">
        <f>Video!H17</f>
        <v>2521.31</v>
      </c>
      <c r="N20" s="6">
        <f>'Table Games'!L19+Video!I17</f>
        <v>48140.55</v>
      </c>
    </row>
    <row r="21" spans="1:14" ht="15" customHeight="1" x14ac:dyDescent="0.25">
      <c r="A21" s="10">
        <f>Video!A18</f>
        <v>45927</v>
      </c>
      <c r="B21" s="6">
        <f>'Table Games'!B20</f>
        <v>279493.5</v>
      </c>
      <c r="C21" s="6">
        <f>'Table Games'!C20</f>
        <v>-1662</v>
      </c>
      <c r="D21" s="6">
        <f>'Table Games'!D20</f>
        <v>0</v>
      </c>
      <c r="E21" s="6">
        <f>'Table Games'!E20</f>
        <v>0</v>
      </c>
      <c r="F21" s="6">
        <f>'Table Games'!F20</f>
        <v>47555</v>
      </c>
      <c r="G21" s="6">
        <f>'Table Games'!G20</f>
        <v>0</v>
      </c>
      <c r="H21" s="6">
        <f>'Table Games'!H20</f>
        <v>8972</v>
      </c>
      <c r="I21" s="6">
        <f>'Table Games'!I20</f>
        <v>334358.5</v>
      </c>
      <c r="J21" s="6">
        <f>Video!E18</f>
        <v>54591.409999999916</v>
      </c>
      <c r="K21" s="6">
        <f>'Table Games'!J20+Video!F18</f>
        <v>119960.47</v>
      </c>
      <c r="L21" s="6">
        <f>'Table Games'!K20+Video!G18</f>
        <v>25998.46</v>
      </c>
      <c r="M21" s="6">
        <f>Video!H18</f>
        <v>2565.79</v>
      </c>
      <c r="N21" s="6">
        <f>'Table Games'!L20+Video!I18</f>
        <v>240425.19</v>
      </c>
    </row>
    <row r="22" spans="1:14" ht="15" customHeight="1" x14ac:dyDescent="0.25">
      <c r="A22" s="10">
        <f>Video!A19</f>
        <v>45934</v>
      </c>
      <c r="B22" s="6">
        <f>'Table Games'!B21</f>
        <v>51392.5</v>
      </c>
      <c r="C22" s="6">
        <f>'Table Games'!C21</f>
        <v>5306</v>
      </c>
      <c r="D22" s="6">
        <f>'Table Games'!D21</f>
        <v>0</v>
      </c>
      <c r="E22" s="6">
        <f>'Table Games'!E21</f>
        <v>0</v>
      </c>
      <c r="F22" s="6">
        <f>'Table Games'!F21</f>
        <v>-2486</v>
      </c>
      <c r="G22" s="6">
        <f>'Table Games'!G21</f>
        <v>0</v>
      </c>
      <c r="H22" s="6">
        <f>'Table Games'!H21</f>
        <v>9582</v>
      </c>
      <c r="I22" s="6">
        <f>'Table Games'!I21</f>
        <v>63794.5</v>
      </c>
      <c r="J22" s="6">
        <f>Video!E19</f>
        <v>23592.160000000033</v>
      </c>
      <c r="K22" s="6">
        <f>'Table Games'!J21+Video!F19</f>
        <v>27631.54</v>
      </c>
      <c r="L22" s="6">
        <f>'Table Games'!K21+Video!G19</f>
        <v>7200.4</v>
      </c>
      <c r="M22" s="6">
        <f>Video!H19</f>
        <v>1108.83</v>
      </c>
      <c r="N22" s="6">
        <f>'Table Games'!L21+Video!I19</f>
        <v>51445.89</v>
      </c>
    </row>
    <row r="23" spans="1:14" ht="15" customHeight="1" x14ac:dyDescent="0.25">
      <c r="A23" s="10">
        <f>Video!A20</f>
        <v>45941</v>
      </c>
      <c r="B23" s="6">
        <f>'Table Games'!B22</f>
        <v>18002.5</v>
      </c>
      <c r="C23" s="6">
        <f>'Table Games'!C22</f>
        <v>9296</v>
      </c>
      <c r="D23" s="6">
        <f>'Table Games'!D22</f>
        <v>-2352</v>
      </c>
      <c r="E23" s="6">
        <f>'Table Games'!E22</f>
        <v>0</v>
      </c>
      <c r="F23" s="6">
        <f>'Table Games'!F22</f>
        <v>8364</v>
      </c>
      <c r="G23" s="6">
        <f>'Table Games'!G22</f>
        <v>0</v>
      </c>
      <c r="H23" s="6">
        <f>'Table Games'!H22</f>
        <v>6665</v>
      </c>
      <c r="I23" s="6">
        <f>'Table Games'!I22</f>
        <v>39975.5</v>
      </c>
      <c r="J23" s="6">
        <f>Video!E20</f>
        <v>45956.220000000088</v>
      </c>
      <c r="K23" s="6">
        <f>'Table Games'!J22+Video!F20</f>
        <v>28536.880000000005</v>
      </c>
      <c r="L23" s="6">
        <f>'Table Games'!K22+Video!G20</f>
        <v>9811.34</v>
      </c>
      <c r="M23" s="6">
        <f>Video!H20</f>
        <v>2159.9500000000003</v>
      </c>
      <c r="N23" s="6">
        <f>'Table Games'!L22+Video!I20</f>
        <v>45423.55</v>
      </c>
    </row>
    <row r="24" spans="1:14" ht="15" customHeight="1" x14ac:dyDescent="0.25">
      <c r="A24" s="10">
        <f>Video!A21</f>
        <v>45948</v>
      </c>
      <c r="B24" s="6">
        <f>'Table Games'!B23</f>
        <v>26178.5</v>
      </c>
      <c r="C24" s="6">
        <f>'Table Games'!C23</f>
        <v>55592</v>
      </c>
      <c r="D24" s="6">
        <f>'Table Games'!D23</f>
        <v>0</v>
      </c>
      <c r="E24" s="6">
        <f>'Table Games'!E23</f>
        <v>0</v>
      </c>
      <c r="F24" s="6">
        <f>'Table Games'!F23</f>
        <v>-3054</v>
      </c>
      <c r="G24" s="6">
        <f>'Table Games'!G23</f>
        <v>0</v>
      </c>
      <c r="H24" s="6">
        <f>'Table Games'!H23</f>
        <v>5925</v>
      </c>
      <c r="I24" s="6">
        <f>'Table Games'!I23</f>
        <v>84641.5</v>
      </c>
      <c r="J24" s="6">
        <f>Video!E21</f>
        <v>38055.309999999939</v>
      </c>
      <c r="K24" s="6">
        <f>'Table Games'!J23+Video!F21</f>
        <v>39092.370000000003</v>
      </c>
      <c r="L24" s="6">
        <f>'Table Games'!K23+Video!G21</f>
        <v>10701.48</v>
      </c>
      <c r="M24" s="6">
        <f>Video!H21</f>
        <v>1788.59</v>
      </c>
      <c r="N24" s="6">
        <f>'Table Games'!L23+Video!I21</f>
        <v>71114.37</v>
      </c>
    </row>
    <row r="25" spans="1:14" ht="15" customHeight="1" x14ac:dyDescent="0.25">
      <c r="A25" s="10">
        <f>Video!A22</f>
        <v>45955</v>
      </c>
      <c r="B25" s="6">
        <f>'Table Games'!B24</f>
        <v>37497</v>
      </c>
      <c r="C25" s="6">
        <f>'Table Games'!C24</f>
        <v>13395</v>
      </c>
      <c r="D25" s="6">
        <f>'Table Games'!D24</f>
        <v>0</v>
      </c>
      <c r="E25" s="6">
        <f>'Table Games'!E24</f>
        <v>0</v>
      </c>
      <c r="F25" s="6">
        <f>'Table Games'!F24</f>
        <v>1256</v>
      </c>
      <c r="G25" s="6">
        <f>'Table Games'!G24</f>
        <v>0</v>
      </c>
      <c r="H25" s="6">
        <f>'Table Games'!H24</f>
        <v>17424</v>
      </c>
      <c r="I25" s="6">
        <f>'Table Games'!I24</f>
        <v>69572</v>
      </c>
      <c r="J25" s="6">
        <f>Video!E22</f>
        <v>69566.009999999951</v>
      </c>
      <c r="K25" s="6">
        <f>'Table Games'!J24+Video!F22</f>
        <v>45915.35</v>
      </c>
      <c r="L25" s="6">
        <f>'Table Games'!K24+Video!G22</f>
        <v>15304.82</v>
      </c>
      <c r="M25" s="6">
        <f>Video!H22</f>
        <v>3269.61</v>
      </c>
      <c r="N25" s="6">
        <f>'Table Games'!L24+Video!I22</f>
        <v>74648.23</v>
      </c>
    </row>
    <row r="26" spans="1:14" ht="15" customHeight="1" x14ac:dyDescent="0.25">
      <c r="A26" s="10">
        <f>Video!A23</f>
        <v>45962</v>
      </c>
      <c r="B26" s="6">
        <f>'Table Games'!B25</f>
        <v>73576</v>
      </c>
      <c r="C26" s="6">
        <f>'Table Games'!C25</f>
        <v>-7600</v>
      </c>
      <c r="D26" s="6">
        <f>'Table Games'!D25</f>
        <v>0</v>
      </c>
      <c r="E26" s="6">
        <f>'Table Games'!E25</f>
        <v>0</v>
      </c>
      <c r="F26" s="6">
        <f>'Table Games'!F25</f>
        <v>31401</v>
      </c>
      <c r="G26" s="6">
        <f>'Table Games'!G25</f>
        <v>0</v>
      </c>
      <c r="H26" s="6">
        <f>'Table Games'!H25</f>
        <v>5340</v>
      </c>
      <c r="I26" s="6">
        <f>'Table Games'!I25</f>
        <v>102717</v>
      </c>
      <c r="J26" s="6">
        <f>Video!E23</f>
        <v>117183.40999999968</v>
      </c>
      <c r="K26" s="6">
        <f>'Table Games'!J25+Video!F23</f>
        <v>73001.149999999994</v>
      </c>
      <c r="L26" s="6">
        <f>'Table Games'!K25+Video!G23</f>
        <v>25057.020000000004</v>
      </c>
      <c r="M26" s="6">
        <f>Video!H23</f>
        <v>5507.62</v>
      </c>
      <c r="N26" s="6">
        <f>'Table Games'!L25+Video!I23</f>
        <v>116334.62</v>
      </c>
    </row>
    <row r="27" spans="1:14" ht="15" customHeight="1" x14ac:dyDescent="0.25">
      <c r="A27" s="10">
        <f>Video!A24</f>
        <v>45969</v>
      </c>
      <c r="B27" s="6">
        <f>'Table Games'!B26</f>
        <v>-28760</v>
      </c>
      <c r="C27" s="6">
        <f>'Table Games'!C26</f>
        <v>-2287</v>
      </c>
      <c r="D27" s="6">
        <f>'Table Games'!D26</f>
        <v>0</v>
      </c>
      <c r="E27" s="6">
        <f>'Table Games'!E26</f>
        <v>0</v>
      </c>
      <c r="F27" s="6">
        <f>'Table Games'!F26</f>
        <v>-10104</v>
      </c>
      <c r="G27" s="6">
        <f>'Table Games'!G26</f>
        <v>-14925</v>
      </c>
      <c r="H27" s="6">
        <f>'Table Games'!H26</f>
        <v>2708</v>
      </c>
      <c r="I27" s="6">
        <f>'Table Games'!I26</f>
        <v>-53368</v>
      </c>
      <c r="J27" s="6">
        <f>Video!E24</f>
        <v>31133.889999999956</v>
      </c>
      <c r="K27" s="6">
        <f>'Table Games'!J26+Video!F24</f>
        <v>-4802.1899999999987</v>
      </c>
      <c r="L27" s="6">
        <f>'Table Games'!K26+Video!G24</f>
        <v>2624.36</v>
      </c>
      <c r="M27" s="6">
        <f>Video!H24</f>
        <v>1463.3</v>
      </c>
      <c r="N27" s="6">
        <f>'Table Games'!L26+Video!I24</f>
        <v>-21519.579999999998</v>
      </c>
    </row>
    <row r="28" spans="1:14" ht="15" customHeight="1" x14ac:dyDescent="0.25">
      <c r="A28" s="10">
        <f>Video!A25</f>
        <v>45976</v>
      </c>
      <c r="B28" s="6">
        <f>'Table Games'!B27</f>
        <v>311518</v>
      </c>
      <c r="C28" s="6">
        <f>'Table Games'!C27</f>
        <v>3764</v>
      </c>
      <c r="D28" s="6">
        <f>'Table Games'!D27</f>
        <v>0</v>
      </c>
      <c r="E28" s="6">
        <f>'Table Games'!E27</f>
        <v>0</v>
      </c>
      <c r="F28" s="6">
        <f>'Table Games'!F27</f>
        <v>-23068</v>
      </c>
      <c r="G28" s="6">
        <f>'Table Games'!G27</f>
        <v>0</v>
      </c>
      <c r="H28" s="6">
        <f>'Table Games'!H27</f>
        <v>4245</v>
      </c>
      <c r="I28" s="6">
        <f>'Table Games'!I27</f>
        <v>296459</v>
      </c>
      <c r="J28" s="6">
        <f>Video!E25</f>
        <v>19441.349999999977</v>
      </c>
      <c r="K28" s="6">
        <f>'Table Games'!J27+Video!F25</f>
        <v>95936.59</v>
      </c>
      <c r="L28" s="6">
        <f>'Table Games'!K27+Video!G25</f>
        <v>18127.97</v>
      </c>
      <c r="M28" s="6">
        <f>Video!H25</f>
        <v>913.74</v>
      </c>
      <c r="N28" s="6">
        <f>'Table Games'!L27+Video!I25</f>
        <v>200922.05000000002</v>
      </c>
    </row>
    <row r="29" spans="1:14" ht="15" customHeight="1" x14ac:dyDescent="0.25">
      <c r="A29" s="10">
        <f>Video!A26</f>
        <v>45983</v>
      </c>
      <c r="B29" s="6">
        <f>'Table Games'!B28</f>
        <v>270228.5</v>
      </c>
      <c r="C29" s="6">
        <f>'Table Games'!C28</f>
        <v>7496</v>
      </c>
      <c r="D29" s="6">
        <f>'Table Games'!D28</f>
        <v>0</v>
      </c>
      <c r="E29" s="6">
        <f>'Table Games'!E28</f>
        <v>0</v>
      </c>
      <c r="F29" s="6">
        <f>'Table Games'!F28</f>
        <v>19412</v>
      </c>
      <c r="G29" s="6">
        <f>'Table Games'!G28</f>
        <v>0</v>
      </c>
      <c r="H29" s="6">
        <f>'Table Games'!H28</f>
        <v>23551</v>
      </c>
      <c r="I29" s="6">
        <f>'Table Games'!I28</f>
        <v>320687.5</v>
      </c>
      <c r="J29" s="6">
        <f>Video!E26</f>
        <v>5354.570000000007</v>
      </c>
      <c r="K29" s="6">
        <f>'Table Games'!J28+Video!F26</f>
        <v>98133.91</v>
      </c>
      <c r="L29" s="6">
        <f>'Table Games'!K28+Video!G26</f>
        <v>16944.66</v>
      </c>
      <c r="M29" s="6">
        <f>Video!H26</f>
        <v>251.66</v>
      </c>
      <c r="N29" s="6">
        <f>'Table Games'!L28+Video!I26</f>
        <v>210711.84</v>
      </c>
    </row>
    <row r="30" spans="1:14" ht="15" customHeight="1" x14ac:dyDescent="0.25">
      <c r="A30" s="10">
        <f>Video!A27</f>
        <v>45990</v>
      </c>
      <c r="B30" s="6">
        <f>'Table Games'!B29</f>
        <v>166110</v>
      </c>
      <c r="C30" s="6">
        <f>'Table Games'!C29</f>
        <v>10367</v>
      </c>
      <c r="D30" s="6">
        <f>'Table Games'!D29</f>
        <v>0</v>
      </c>
      <c r="E30" s="6">
        <f>'Table Games'!E29</f>
        <v>0</v>
      </c>
      <c r="F30" s="6">
        <f>'Table Games'!F29</f>
        <v>8650</v>
      </c>
      <c r="G30" s="6">
        <f>'Table Games'!G29</f>
        <v>0</v>
      </c>
      <c r="H30" s="6">
        <f>'Table Games'!H29</f>
        <v>10834</v>
      </c>
      <c r="I30" s="6">
        <f>'Table Games'!I29</f>
        <v>195961</v>
      </c>
      <c r="J30" s="6">
        <f>Video!E27</f>
        <v>66654.809999999939</v>
      </c>
      <c r="K30" s="6">
        <f>'Table Games'!J29+Video!F27</f>
        <v>82784.03</v>
      </c>
      <c r="L30" s="6">
        <f>'Table Games'!K29+Video!G27</f>
        <v>21129.37</v>
      </c>
      <c r="M30" s="6">
        <f>Video!H27</f>
        <v>3132.77</v>
      </c>
      <c r="N30" s="6">
        <f>'Table Games'!L29+Video!I27</f>
        <v>155569.63999999998</v>
      </c>
    </row>
    <row r="31" spans="1:14" ht="15" customHeight="1" x14ac:dyDescent="0.25">
      <c r="A31" s="10">
        <f>Video!A28</f>
        <v>45997</v>
      </c>
      <c r="B31" s="6">
        <f>'Table Games'!B30</f>
        <v>89161</v>
      </c>
      <c r="C31" s="6">
        <f>'Table Games'!C30</f>
        <v>33059</v>
      </c>
      <c r="D31" s="6">
        <f>'Table Games'!D30</f>
        <v>0</v>
      </c>
      <c r="E31" s="6">
        <f>'Table Games'!E30</f>
        <v>0</v>
      </c>
      <c r="F31" s="6">
        <f>'Table Games'!F30</f>
        <v>8150</v>
      </c>
      <c r="G31" s="6">
        <f>'Table Games'!G30</f>
        <v>0</v>
      </c>
      <c r="H31" s="6">
        <f>'Table Games'!H30</f>
        <v>8838</v>
      </c>
      <c r="I31" s="6">
        <f>'Table Games'!I30</f>
        <v>139208</v>
      </c>
      <c r="J31" s="6">
        <f>Video!E28</f>
        <v>14502.610000000219</v>
      </c>
      <c r="K31" s="6">
        <f>'Table Games'!J30+Video!F28</f>
        <v>46983.360000000001</v>
      </c>
      <c r="L31" s="6">
        <f>'Table Games'!K30+Video!G28</f>
        <v>9425.84</v>
      </c>
      <c r="M31" s="6">
        <f>Video!H28</f>
        <v>681.61</v>
      </c>
      <c r="N31" s="6">
        <f>'Table Games'!L30+Video!I28</f>
        <v>96619.8</v>
      </c>
    </row>
    <row r="32" spans="1:14" ht="15" customHeight="1" x14ac:dyDescent="0.25">
      <c r="A32" s="10">
        <f>Video!A29</f>
        <v>46004</v>
      </c>
      <c r="B32" s="6">
        <f>'Table Games'!B31</f>
        <v>-116544</v>
      </c>
      <c r="C32" s="6">
        <f>'Table Games'!C31</f>
        <v>19118</v>
      </c>
      <c r="D32" s="6">
        <f>'Table Games'!D31</f>
        <v>0</v>
      </c>
      <c r="E32" s="6">
        <f>'Table Games'!E31</f>
        <v>0</v>
      </c>
      <c r="F32" s="6">
        <f>'Table Games'!F31</f>
        <v>1777</v>
      </c>
      <c r="G32" s="6">
        <f>'Table Games'!G31</f>
        <v>0</v>
      </c>
      <c r="H32" s="6">
        <f>'Table Games'!H31</f>
        <v>5206</v>
      </c>
      <c r="I32" s="6">
        <f>'Table Games'!I31</f>
        <v>-90443</v>
      </c>
      <c r="J32" s="6">
        <f>Video!E29</f>
        <v>57069.79999999993</v>
      </c>
      <c r="K32" s="6">
        <f>'Table Games'!J31+Video!F29</f>
        <v>-6587.77</v>
      </c>
      <c r="L32" s="6">
        <f>'Table Games'!K31+Video!G29</f>
        <v>5179.7200000000012</v>
      </c>
      <c r="M32" s="6">
        <f>Video!H29</f>
        <v>2682.28</v>
      </c>
      <c r="N32" s="6">
        <f>'Table Games'!L31+Video!I29</f>
        <v>-34647.429999999993</v>
      </c>
    </row>
    <row r="33" spans="1:14" ht="15" customHeight="1" x14ac:dyDescent="0.25">
      <c r="A33" s="10">
        <f>Video!A30</f>
        <v>46011</v>
      </c>
      <c r="B33" s="6">
        <f>'Table Games'!B32</f>
        <v>133922.5</v>
      </c>
      <c r="C33" s="6">
        <f>'Table Games'!C32</f>
        <v>15227</v>
      </c>
      <c r="D33" s="6">
        <f>'Table Games'!D32</f>
        <v>300</v>
      </c>
      <c r="E33" s="6">
        <f>'Table Games'!E32</f>
        <v>0</v>
      </c>
      <c r="F33" s="6">
        <f>'Table Games'!F32</f>
        <v>19366</v>
      </c>
      <c r="G33" s="6">
        <f>'Table Games'!G32</f>
        <v>200</v>
      </c>
      <c r="H33" s="6">
        <f>'Table Games'!H32</f>
        <v>1295</v>
      </c>
      <c r="I33" s="6">
        <f>'Table Games'!I32</f>
        <v>170310.5</v>
      </c>
      <c r="J33" s="6">
        <f>Video!E30</f>
        <v>56632.860000000102</v>
      </c>
      <c r="K33" s="6">
        <f>'Table Games'!J32+Video!F30</f>
        <v>71480.97</v>
      </c>
      <c r="L33" s="6">
        <f>'Table Games'!K32+Video!G30</f>
        <v>18143.11</v>
      </c>
      <c r="M33" s="6">
        <f>Video!H30</f>
        <v>2661.75</v>
      </c>
      <c r="N33" s="6">
        <f>'Table Games'!L32+Video!I30</f>
        <v>134657.53</v>
      </c>
    </row>
    <row r="34" spans="1:14" ht="15" customHeight="1" x14ac:dyDescent="0.25">
      <c r="A34" s="10">
        <f>Video!A31</f>
        <v>46018</v>
      </c>
      <c r="B34" s="6">
        <f>'Table Games'!B33</f>
        <v>52624.5</v>
      </c>
      <c r="C34" s="6">
        <f>'Table Games'!C33</f>
        <v>13660</v>
      </c>
      <c r="D34" s="6">
        <f>'Table Games'!D33</f>
        <v>0</v>
      </c>
      <c r="E34" s="6">
        <f>'Table Games'!E33</f>
        <v>0</v>
      </c>
      <c r="F34" s="6">
        <f>'Table Games'!F33</f>
        <v>17596</v>
      </c>
      <c r="G34" s="6">
        <f>'Table Games'!G33</f>
        <v>0</v>
      </c>
      <c r="H34" s="6">
        <f>'Table Games'!H33</f>
        <v>1483</v>
      </c>
      <c r="I34" s="6">
        <f>'Table Games'!I33</f>
        <v>85363.5</v>
      </c>
      <c r="J34" s="6">
        <f>Video!E31</f>
        <v>-12215.079999999958</v>
      </c>
      <c r="K34" s="6">
        <f>'Table Games'!J33+Video!F31</f>
        <v>21211.62</v>
      </c>
      <c r="L34" s="6">
        <f>'Table Games'!K33+Video!G31</f>
        <v>2191.6300000000006</v>
      </c>
      <c r="M34" s="6">
        <f>Video!H31</f>
        <v>-574.12</v>
      </c>
      <c r="N34" s="6">
        <f>'Table Games'!L33+Video!I31</f>
        <v>50319.289999999994</v>
      </c>
    </row>
    <row r="35" spans="1:14" ht="15" customHeight="1" x14ac:dyDescent="0.25">
      <c r="A35" s="10">
        <f>Video!A32</f>
        <v>46025</v>
      </c>
      <c r="B35" s="6">
        <f>'Table Games'!B34</f>
        <v>126849</v>
      </c>
      <c r="C35" s="6">
        <f>'Table Games'!C34</f>
        <v>13078</v>
      </c>
      <c r="D35" s="6">
        <f>'Table Games'!D34</f>
        <v>-4165</v>
      </c>
      <c r="E35" s="6">
        <f>'Table Games'!E34</f>
        <v>0</v>
      </c>
      <c r="F35" s="6">
        <f>'Table Games'!F34</f>
        <v>5247</v>
      </c>
      <c r="G35" s="6">
        <f>'Table Games'!G34</f>
        <v>10826</v>
      </c>
      <c r="H35" s="6">
        <f>'Table Games'!H34</f>
        <v>19765</v>
      </c>
      <c r="I35" s="6">
        <f>'Table Games'!I34</f>
        <v>171600</v>
      </c>
      <c r="J35" s="6">
        <f>Video!E32</f>
        <v>201479.51000000024</v>
      </c>
      <c r="K35" s="6">
        <f>'Table Games'!J34+Video!F32</f>
        <v>124012.62999999999</v>
      </c>
      <c r="L35" s="6">
        <f>'Table Games'!K34+Video!G32</f>
        <v>42831.509999999995</v>
      </c>
      <c r="M35" s="6">
        <f>Video!H32</f>
        <v>9469.5300000000007</v>
      </c>
      <c r="N35" s="6">
        <f>'Table Games'!L34+Video!I32</f>
        <v>196765.84</v>
      </c>
    </row>
    <row r="36" spans="1:14" ht="15" customHeight="1" x14ac:dyDescent="0.25">
      <c r="A36" s="10">
        <f>Video!A33</f>
        <v>46032</v>
      </c>
      <c r="B36" s="6">
        <f>'Table Games'!B35</f>
        <v>-13385</v>
      </c>
      <c r="C36" s="6">
        <f>'Table Games'!C35</f>
        <v>9483</v>
      </c>
      <c r="D36" s="6">
        <f>'Table Games'!D35</f>
        <v>0</v>
      </c>
      <c r="E36" s="6">
        <f>'Table Games'!E35</f>
        <v>0</v>
      </c>
      <c r="F36" s="6">
        <f>'Table Games'!F35</f>
        <v>14337</v>
      </c>
      <c r="G36" s="6">
        <f>'Table Games'!G35</f>
        <v>0</v>
      </c>
      <c r="H36" s="6">
        <f>'Table Games'!H35</f>
        <v>2352</v>
      </c>
      <c r="I36" s="6">
        <f>'Table Games'!I35</f>
        <v>12787</v>
      </c>
      <c r="J36" s="6">
        <f>Video!E33</f>
        <v>14590.719999999972</v>
      </c>
      <c r="K36" s="6">
        <f>'Table Games'!J35+Video!F33</f>
        <v>9088.77</v>
      </c>
      <c r="L36" s="6">
        <f>'Table Games'!K35+Video!G33</f>
        <v>3119.77</v>
      </c>
      <c r="M36" s="6">
        <f>Video!H33</f>
        <v>685.76</v>
      </c>
      <c r="N36" s="6">
        <f>'Table Games'!L35+Video!I33</f>
        <v>14483.419999999998</v>
      </c>
    </row>
    <row r="37" spans="1:14" ht="15" customHeight="1" x14ac:dyDescent="0.25">
      <c r="A37" s="10">
        <f>Video!A34</f>
        <v>46039</v>
      </c>
      <c r="B37" s="6">
        <f>'Table Games'!B36</f>
        <v>35013.5</v>
      </c>
      <c r="C37" s="6">
        <f>'Table Games'!C36</f>
        <v>6828</v>
      </c>
      <c r="D37" s="6">
        <f>'Table Games'!D36</f>
        <v>0</v>
      </c>
      <c r="E37" s="6">
        <f>'Table Games'!E36</f>
        <v>0</v>
      </c>
      <c r="F37" s="6">
        <f>'Table Games'!F36</f>
        <v>1768</v>
      </c>
      <c r="G37" s="6">
        <f>'Table Games'!G36</f>
        <v>0</v>
      </c>
      <c r="H37" s="6">
        <f>'Table Games'!H36</f>
        <v>6235</v>
      </c>
      <c r="I37" s="6">
        <f>'Table Games'!I36</f>
        <v>49844.5</v>
      </c>
      <c r="J37" s="6">
        <f>Video!E34</f>
        <v>-33263.699999999953</v>
      </c>
      <c r="K37" s="6">
        <f>'Table Games'!J36+Video!F34</f>
        <v>2978.3899999999994</v>
      </c>
      <c r="L37" s="6">
        <f>'Table Games'!K36+Video!G34</f>
        <v>-3162.5899999999997</v>
      </c>
      <c r="M37" s="6">
        <f>Video!H34</f>
        <v>-1563.38</v>
      </c>
      <c r="N37" s="6">
        <f>'Table Games'!L36+Video!I34</f>
        <v>18328.380000000005</v>
      </c>
    </row>
    <row r="38" spans="1:14" ht="15" customHeight="1" x14ac:dyDescent="0.25">
      <c r="A38" s="10">
        <f>Video!A35</f>
        <v>46046</v>
      </c>
      <c r="B38" s="6">
        <f>'Table Games'!B37</f>
        <v>15338</v>
      </c>
      <c r="C38" s="6">
        <f>'Table Games'!C37</f>
        <v>-5916</v>
      </c>
      <c r="D38" s="6">
        <f>'Table Games'!D37</f>
        <v>0</v>
      </c>
      <c r="E38" s="6">
        <f>'Table Games'!E37</f>
        <v>0</v>
      </c>
      <c r="F38" s="6">
        <f>'Table Games'!F37</f>
        <v>14837</v>
      </c>
      <c r="G38" s="6">
        <f>'Table Games'!G37</f>
        <v>0</v>
      </c>
      <c r="H38" s="6">
        <f>'Table Games'!H37</f>
        <v>-3661</v>
      </c>
      <c r="I38" s="6">
        <f>'Table Games'!I37</f>
        <v>20598</v>
      </c>
      <c r="J38" s="6">
        <f>Video!E35</f>
        <v>54300.630000000005</v>
      </c>
      <c r="K38" s="6">
        <f>'Table Games'!J37+Video!F35</f>
        <v>25727.629999999997</v>
      </c>
      <c r="L38" s="6">
        <f>'Table Games'!K37+Video!G35</f>
        <v>10261</v>
      </c>
      <c r="M38" s="6">
        <f>Video!H35</f>
        <v>2552.13</v>
      </c>
      <c r="N38" s="6">
        <f>'Table Games'!L37+Video!I35</f>
        <v>36357.869999999995</v>
      </c>
    </row>
    <row r="39" spans="1:14" ht="15" customHeight="1" x14ac:dyDescent="0.25">
      <c r="A39" s="10">
        <f>Video!A36</f>
        <v>46053</v>
      </c>
      <c r="B39" s="6">
        <f>'Table Games'!B38</f>
        <v>-991.5</v>
      </c>
      <c r="C39" s="6">
        <f>'Table Games'!C38</f>
        <v>-2242</v>
      </c>
      <c r="D39" s="6">
        <f>'Table Games'!D38</f>
        <v>0</v>
      </c>
      <c r="E39" s="6">
        <f>'Table Games'!E38</f>
        <v>0</v>
      </c>
      <c r="F39" s="6">
        <f>'Table Games'!F38</f>
        <v>-643</v>
      </c>
      <c r="G39" s="6">
        <f>'Table Games'!G38</f>
        <v>0</v>
      </c>
      <c r="H39" s="6">
        <f>'Table Games'!H38</f>
        <v>6965</v>
      </c>
      <c r="I39" s="6">
        <f>'Table Games'!I38</f>
        <v>3088.5</v>
      </c>
      <c r="J39" s="6">
        <f>Video!E36</f>
        <v>7208.6900000000605</v>
      </c>
      <c r="K39" s="6">
        <f>'Table Games'!J38+Video!F36</f>
        <v>3521.67</v>
      </c>
      <c r="L39" s="6">
        <f>'Table Games'!K38+Video!G36</f>
        <v>1379.91</v>
      </c>
      <c r="M39" s="6">
        <f>Video!H36</f>
        <v>338.82</v>
      </c>
      <c r="N39" s="6">
        <f>'Table Games'!L38+Video!I36</f>
        <v>5056.79</v>
      </c>
    </row>
    <row r="40" spans="1:14" ht="15" customHeight="1" x14ac:dyDescent="0.25">
      <c r="A40" s="10">
        <f>Video!A37</f>
        <v>46060</v>
      </c>
      <c r="B40" s="6">
        <f>'Table Games'!B39</f>
        <v>17746.5</v>
      </c>
      <c r="C40" s="6">
        <f>'Table Games'!C39</f>
        <v>8269</v>
      </c>
      <c r="D40" s="6">
        <f>'Table Games'!D39</f>
        <v>1100</v>
      </c>
      <c r="E40" s="6">
        <f>'Table Games'!E39</f>
        <v>0</v>
      </c>
      <c r="F40" s="6">
        <f>'Table Games'!F39</f>
        <v>1262</v>
      </c>
      <c r="G40" s="6">
        <f>'Table Games'!G39</f>
        <v>0</v>
      </c>
      <c r="H40" s="6">
        <f>'Table Games'!H39</f>
        <v>-1734</v>
      </c>
      <c r="I40" s="6">
        <f>'Table Games'!I39</f>
        <v>26643.5</v>
      </c>
      <c r="J40" s="6">
        <f>Video!E37</f>
        <v>35011.830000000075</v>
      </c>
      <c r="K40" s="6">
        <f>'Table Games'!J39+Video!F37</f>
        <v>20597.29</v>
      </c>
      <c r="L40" s="6">
        <f>'Table Games'!K39+Video!G37</f>
        <v>7284.1900000000005</v>
      </c>
      <c r="M40" s="6">
        <f>Video!H37</f>
        <v>1645.56</v>
      </c>
      <c r="N40" s="6">
        <f>'Table Games'!L39+Video!I37</f>
        <v>32128.29</v>
      </c>
    </row>
    <row r="41" spans="1:14" ht="15" customHeight="1" x14ac:dyDescent="0.25">
      <c r="A41" s="10">
        <f>Video!A38</f>
        <v>46067</v>
      </c>
      <c r="B41" s="6">
        <f>'Table Games'!B40</f>
        <v>168502</v>
      </c>
      <c r="C41" s="6">
        <f>'Table Games'!C40</f>
        <v>10672</v>
      </c>
      <c r="D41" s="6">
        <f>'Table Games'!D40</f>
        <v>0</v>
      </c>
      <c r="E41" s="6">
        <f>'Table Games'!E40</f>
        <v>0</v>
      </c>
      <c r="F41" s="6">
        <f>'Table Games'!F40</f>
        <v>4759</v>
      </c>
      <c r="G41" s="6">
        <f>'Table Games'!G40</f>
        <v>0</v>
      </c>
      <c r="H41" s="6">
        <f>'Table Games'!H40</f>
        <v>6843</v>
      </c>
      <c r="I41" s="6">
        <f>'Table Games'!I40</f>
        <v>190776</v>
      </c>
      <c r="J41" s="6">
        <f>Video!E38</f>
        <v>99.669999999925494</v>
      </c>
      <c r="K41" s="6">
        <f>'Table Games'!J40+Video!F38</f>
        <v>57268.670000000006</v>
      </c>
      <c r="L41" s="6">
        <f>'Table Games'!K40+Video!G38</f>
        <v>9555.75</v>
      </c>
      <c r="M41" s="6">
        <f>Video!H38</f>
        <v>4.6899999999999995</v>
      </c>
      <c r="N41" s="6">
        <f>'Table Games'!L40+Video!I38</f>
        <v>124046.56</v>
      </c>
    </row>
    <row r="42" spans="1:14" ht="15" customHeight="1" x14ac:dyDescent="0.25">
      <c r="A42" s="10">
        <f>Video!A39</f>
        <v>46074</v>
      </c>
      <c r="B42" s="6">
        <f>'Table Games'!B41</f>
        <v>168074.5</v>
      </c>
      <c r="C42" s="6">
        <f>'Table Games'!C41</f>
        <v>2965</v>
      </c>
      <c r="D42" s="6">
        <f>'Table Games'!D41</f>
        <v>0</v>
      </c>
      <c r="E42" s="6">
        <f>'Table Games'!E41</f>
        <v>0</v>
      </c>
      <c r="F42" s="6">
        <f>'Table Games'!F41</f>
        <v>1333</v>
      </c>
      <c r="G42" s="6">
        <f>'Table Games'!G41</f>
        <v>0</v>
      </c>
      <c r="H42" s="6">
        <f>'Table Games'!H41</f>
        <v>769</v>
      </c>
      <c r="I42" s="6">
        <f>'Table Games'!I41</f>
        <v>173141.5</v>
      </c>
      <c r="J42" s="6">
        <f>Video!E39</f>
        <v>96783.75</v>
      </c>
      <c r="K42" s="6">
        <f>'Table Games'!J41+Video!F39</f>
        <v>86784.62</v>
      </c>
      <c r="L42" s="6">
        <f>'Table Games'!K41+Video!G39</f>
        <v>25110.32</v>
      </c>
      <c r="M42" s="6">
        <f>Video!H39</f>
        <v>4548.82</v>
      </c>
      <c r="N42" s="6">
        <f>'Table Games'!L41+Video!I39</f>
        <v>153481.49</v>
      </c>
    </row>
    <row r="43" spans="1:14" ht="15" customHeight="1" x14ac:dyDescent="0.25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ht="15" customHeight="1" thickBot="1" x14ac:dyDescent="0.3">
      <c r="B44" s="7">
        <f t="shared" ref="B44:N44" si="0">SUM(B9:B43)</f>
        <v>2353738</v>
      </c>
      <c r="C44" s="7">
        <f t="shared" si="0"/>
        <v>280517</v>
      </c>
      <c r="D44" s="7">
        <f t="shared" si="0"/>
        <v>26695.25</v>
      </c>
      <c r="E44" s="7">
        <f t="shared" si="0"/>
        <v>0</v>
      </c>
      <c r="F44" s="7">
        <f t="shared" si="0"/>
        <v>268264.5</v>
      </c>
      <c r="G44" s="7">
        <f t="shared" si="0"/>
        <v>-47175</v>
      </c>
      <c r="H44" s="7">
        <f t="shared" si="0"/>
        <v>230444</v>
      </c>
      <c r="I44" s="7">
        <f t="shared" si="0"/>
        <v>3112483.75</v>
      </c>
      <c r="J44" s="7">
        <f t="shared" si="0"/>
        <v>1607175.4</v>
      </c>
      <c r="K44" s="7">
        <f t="shared" si="0"/>
        <v>1512328.29</v>
      </c>
      <c r="L44" s="7">
        <f t="shared" si="0"/>
        <v>428844.08999999997</v>
      </c>
      <c r="M44" s="7">
        <f t="shared" si="0"/>
        <v>75537.239999999991</v>
      </c>
      <c r="N44" s="7">
        <f t="shared" si="0"/>
        <v>2702949.5300000003</v>
      </c>
    </row>
    <row r="45" spans="1:14" ht="15" customHeight="1" thickTop="1" x14ac:dyDescent="0.25"/>
    <row r="46" spans="1:14" ht="15" customHeight="1" x14ac:dyDescent="0.25">
      <c r="A46" s="15" t="s">
        <v>31</v>
      </c>
    </row>
    <row r="47" spans="1:14" ht="15" customHeight="1" x14ac:dyDescent="0.25">
      <c r="A47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8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5"/>
  <sheetViews>
    <sheetView zoomScaleNormal="100" workbookViewId="0">
      <pane ySplit="5" topLeftCell="A17" activePane="bottomLeft" state="frozen"/>
      <selection pane="bottomLeft" activeCell="A43" sqref="A43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26</v>
      </c>
      <c r="C2" s="9">
        <v>2</v>
      </c>
      <c r="D2" s="4">
        <v>1</v>
      </c>
      <c r="E2" s="4"/>
      <c r="F2" s="4">
        <v>2</v>
      </c>
      <c r="G2" s="4">
        <v>1</v>
      </c>
      <c r="H2" s="4">
        <v>1</v>
      </c>
      <c r="I2" s="4">
        <f>SUM(B2:H2)</f>
        <v>33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32</v>
      </c>
      <c r="B4" s="14">
        <v>3696135.5</v>
      </c>
      <c r="C4" s="14">
        <v>490109</v>
      </c>
      <c r="D4" s="14">
        <v>49623.75</v>
      </c>
      <c r="E4" s="14">
        <v>980</v>
      </c>
      <c r="F4" s="14">
        <v>378755</v>
      </c>
      <c r="G4" s="14">
        <v>5008</v>
      </c>
      <c r="H4" s="14">
        <v>252785.997</v>
      </c>
      <c r="I4" s="14">
        <v>4873397.2469999995</v>
      </c>
      <c r="J4" s="14">
        <v>1462019.1999999995</v>
      </c>
      <c r="K4" s="14">
        <v>243669.96000000005</v>
      </c>
      <c r="L4" s="14">
        <v>3167708.0000000005</v>
      </c>
    </row>
    <row r="6" spans="1:12" ht="15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tr">
        <f>Video!A6</f>
        <v>7/5/2025 *</v>
      </c>
      <c r="B8" s="6">
        <v>52513</v>
      </c>
      <c r="C8" s="6">
        <v>-2279</v>
      </c>
      <c r="D8" s="6">
        <v>0</v>
      </c>
      <c r="E8" s="6">
        <v>0</v>
      </c>
      <c r="F8" s="6">
        <v>4589</v>
      </c>
      <c r="G8" s="6">
        <v>0</v>
      </c>
      <c r="H8" s="6">
        <v>4479</v>
      </c>
      <c r="I8" s="6">
        <f t="shared" ref="I8" si="0">SUM(B8:H8)</f>
        <v>59302</v>
      </c>
      <c r="J8" s="6">
        <f t="shared" ref="J8:J41" si="1">ROUND($I8*0.3,2)</f>
        <v>17790.599999999999</v>
      </c>
      <c r="K8" s="6">
        <f t="shared" ref="K8:K24" si="2">ROUND($I8*0.05,2)</f>
        <v>2965.1</v>
      </c>
      <c r="L8" s="6">
        <f>ROUND($I8*0.65,2)</f>
        <v>38546.300000000003</v>
      </c>
    </row>
    <row r="9" spans="1:12" ht="15" customHeight="1" x14ac:dyDescent="0.25">
      <c r="A9" s="10">
        <f>Video!A7</f>
        <v>45850</v>
      </c>
      <c r="B9" s="6">
        <v>55388</v>
      </c>
      <c r="C9" s="6">
        <v>4622</v>
      </c>
      <c r="D9" s="6">
        <v>0</v>
      </c>
      <c r="E9" s="6">
        <v>0</v>
      </c>
      <c r="F9" s="6">
        <v>17497</v>
      </c>
      <c r="G9" s="6">
        <v>6575</v>
      </c>
      <c r="H9" s="6">
        <v>2811</v>
      </c>
      <c r="I9" s="6">
        <f t="shared" ref="I9" si="3">SUM(B9:H9)</f>
        <v>86893</v>
      </c>
      <c r="J9" s="6">
        <f t="shared" si="1"/>
        <v>26067.9</v>
      </c>
      <c r="K9" s="6">
        <f t="shared" si="2"/>
        <v>4344.6499999999996</v>
      </c>
      <c r="L9" s="6">
        <f>ROUND($I9*0.65,2)</f>
        <v>56480.45</v>
      </c>
    </row>
    <row r="10" spans="1:12" ht="15" customHeight="1" x14ac:dyDescent="0.25">
      <c r="A10" s="10">
        <f>Video!A8</f>
        <v>45857</v>
      </c>
      <c r="B10" s="6">
        <v>-62034.5</v>
      </c>
      <c r="C10" s="6">
        <v>58278</v>
      </c>
      <c r="D10" s="6">
        <v>1018.75</v>
      </c>
      <c r="E10" s="6">
        <v>0</v>
      </c>
      <c r="F10" s="6">
        <v>3133</v>
      </c>
      <c r="G10" s="6">
        <v>0</v>
      </c>
      <c r="H10" s="6">
        <v>681</v>
      </c>
      <c r="I10" s="6">
        <f t="shared" ref="I10" si="4">SUM(B10:H10)</f>
        <v>1076.25</v>
      </c>
      <c r="J10" s="6">
        <f t="shared" si="1"/>
        <v>322.88</v>
      </c>
      <c r="K10" s="6">
        <f t="shared" si="2"/>
        <v>53.81</v>
      </c>
      <c r="L10" s="6">
        <f>ROUND($I10*0.65,2)</f>
        <v>699.56</v>
      </c>
    </row>
    <row r="11" spans="1:12" ht="15" customHeight="1" x14ac:dyDescent="0.25">
      <c r="A11" s="10">
        <f>Video!A9</f>
        <v>45864</v>
      </c>
      <c r="B11" s="6">
        <v>135325.5</v>
      </c>
      <c r="C11" s="6">
        <v>-23329</v>
      </c>
      <c r="D11" s="6">
        <v>0</v>
      </c>
      <c r="E11" s="6">
        <v>0</v>
      </c>
      <c r="F11" s="6">
        <v>11822</v>
      </c>
      <c r="G11" s="6">
        <v>0</v>
      </c>
      <c r="H11" s="6">
        <v>17617</v>
      </c>
      <c r="I11" s="6">
        <f t="shared" ref="I11" si="5">SUM(B11:H11)</f>
        <v>141435.5</v>
      </c>
      <c r="J11" s="6">
        <f t="shared" si="1"/>
        <v>42430.65</v>
      </c>
      <c r="K11" s="6">
        <f t="shared" si="2"/>
        <v>7071.78</v>
      </c>
      <c r="L11" s="6">
        <f>ROUND($I11*0.65,2)-0.01</f>
        <v>91933.07</v>
      </c>
    </row>
    <row r="12" spans="1:12" ht="15" customHeight="1" x14ac:dyDescent="0.25">
      <c r="A12" s="10">
        <f>Video!A10</f>
        <v>45871</v>
      </c>
      <c r="B12" s="6">
        <v>79056</v>
      </c>
      <c r="C12" s="6">
        <v>52781</v>
      </c>
      <c r="D12" s="6">
        <v>3865</v>
      </c>
      <c r="E12" s="6">
        <v>0</v>
      </c>
      <c r="F12" s="6">
        <v>10669</v>
      </c>
      <c r="G12" s="6">
        <v>-49925</v>
      </c>
      <c r="H12" s="6">
        <v>9896</v>
      </c>
      <c r="I12" s="6">
        <f t="shared" ref="I12" si="6">SUM(B12:H12)</f>
        <v>106342</v>
      </c>
      <c r="J12" s="6">
        <f t="shared" si="1"/>
        <v>31902.6</v>
      </c>
      <c r="K12" s="6">
        <f t="shared" si="2"/>
        <v>5317.1</v>
      </c>
      <c r="L12" s="6">
        <f>ROUND($I12*0.65,2)</f>
        <v>69122.3</v>
      </c>
    </row>
    <row r="13" spans="1:12" ht="15" customHeight="1" x14ac:dyDescent="0.25">
      <c r="A13" s="10">
        <f>Video!A11</f>
        <v>45878</v>
      </c>
      <c r="B13" s="6">
        <v>117258.5</v>
      </c>
      <c r="C13" s="6">
        <v>-22058</v>
      </c>
      <c r="D13" s="6">
        <v>9292</v>
      </c>
      <c r="E13" s="6">
        <v>0</v>
      </c>
      <c r="F13" s="6">
        <v>5990</v>
      </c>
      <c r="G13" s="6">
        <v>-15475</v>
      </c>
      <c r="H13" s="6">
        <v>2391</v>
      </c>
      <c r="I13" s="6">
        <f t="shared" ref="I13" si="7">SUM(B13:H13)</f>
        <v>97398.5</v>
      </c>
      <c r="J13" s="6">
        <f t="shared" si="1"/>
        <v>29219.55</v>
      </c>
      <c r="K13" s="6">
        <f t="shared" si="2"/>
        <v>4869.93</v>
      </c>
      <c r="L13" s="6">
        <f>ROUND($I13*0.65,2)-0.01</f>
        <v>63309.02</v>
      </c>
    </row>
    <row r="14" spans="1:12" ht="15" customHeight="1" x14ac:dyDescent="0.25">
      <c r="A14" s="10">
        <f>Video!A12</f>
        <v>45885</v>
      </c>
      <c r="B14" s="6">
        <v>-5502</v>
      </c>
      <c r="C14" s="6">
        <v>21413</v>
      </c>
      <c r="D14" s="6">
        <v>0</v>
      </c>
      <c r="E14" s="6">
        <v>0</v>
      </c>
      <c r="F14" s="6">
        <v>1696.5</v>
      </c>
      <c r="G14" s="6">
        <v>15549</v>
      </c>
      <c r="H14" s="6">
        <v>-7062</v>
      </c>
      <c r="I14" s="6">
        <f t="shared" ref="I14" si="8">SUM(B14:H14)</f>
        <v>26094.5</v>
      </c>
      <c r="J14" s="6">
        <f t="shared" si="1"/>
        <v>7828.35</v>
      </c>
      <c r="K14" s="6">
        <f t="shared" si="2"/>
        <v>1304.73</v>
      </c>
      <c r="L14" s="6">
        <f>ROUND($I14*0.65,2)-0.01</f>
        <v>16961.420000000002</v>
      </c>
    </row>
    <row r="15" spans="1:12" ht="15" customHeight="1" x14ac:dyDescent="0.25">
      <c r="A15" s="10">
        <f>Video!A13</f>
        <v>45892</v>
      </c>
      <c r="B15" s="6">
        <v>-15660</v>
      </c>
      <c r="C15" s="6">
        <v>-3696</v>
      </c>
      <c r="D15" s="6">
        <v>17636.5</v>
      </c>
      <c r="E15" s="6">
        <v>0</v>
      </c>
      <c r="F15" s="6">
        <v>17177</v>
      </c>
      <c r="G15" s="6">
        <v>0</v>
      </c>
      <c r="H15" s="6">
        <v>12693</v>
      </c>
      <c r="I15" s="6">
        <f t="shared" ref="I15" si="9">SUM(B15:H15)</f>
        <v>28150.5</v>
      </c>
      <c r="J15" s="6">
        <f t="shared" si="1"/>
        <v>8445.15</v>
      </c>
      <c r="K15" s="6">
        <f t="shared" si="2"/>
        <v>1407.53</v>
      </c>
      <c r="L15" s="6">
        <f>ROUND($I15*0.65,2)-0.01</f>
        <v>18297.820000000003</v>
      </c>
    </row>
    <row r="16" spans="1:12" ht="15" customHeight="1" x14ac:dyDescent="0.25">
      <c r="A16" s="10">
        <f>Video!A14</f>
        <v>45899</v>
      </c>
      <c r="B16" s="6">
        <v>79000.5</v>
      </c>
      <c r="C16" s="6">
        <v>-19084</v>
      </c>
      <c r="D16" s="6">
        <v>0</v>
      </c>
      <c r="E16" s="6">
        <v>0</v>
      </c>
      <c r="F16" s="6">
        <v>8217</v>
      </c>
      <c r="G16" s="6">
        <v>0</v>
      </c>
      <c r="H16" s="6">
        <v>19215</v>
      </c>
      <c r="I16" s="6">
        <f t="shared" ref="I16" si="10">SUM(B16:H16)</f>
        <v>87348.5</v>
      </c>
      <c r="J16" s="6">
        <f t="shared" si="1"/>
        <v>26204.55</v>
      </c>
      <c r="K16" s="6">
        <f t="shared" si="2"/>
        <v>4367.43</v>
      </c>
      <c r="L16" s="6">
        <f>ROUND($I16*0.65,2)-0.01</f>
        <v>56776.52</v>
      </c>
    </row>
    <row r="17" spans="1:12" ht="15" customHeight="1" x14ac:dyDescent="0.25">
      <c r="A17" s="10">
        <f>Video!A15</f>
        <v>45906</v>
      </c>
      <c r="B17" s="6">
        <v>9754</v>
      </c>
      <c r="C17" s="6">
        <v>4593</v>
      </c>
      <c r="D17" s="6">
        <v>0</v>
      </c>
      <c r="E17" s="6">
        <v>0</v>
      </c>
      <c r="F17" s="6">
        <v>5209</v>
      </c>
      <c r="G17" s="6">
        <v>0</v>
      </c>
      <c r="H17" s="6">
        <v>5367</v>
      </c>
      <c r="I17" s="6">
        <f t="shared" ref="I17" si="11">SUM(B17:H17)</f>
        <v>24923</v>
      </c>
      <c r="J17" s="6">
        <f t="shared" si="1"/>
        <v>7476.9</v>
      </c>
      <c r="K17" s="6">
        <f t="shared" si="2"/>
        <v>1246.1500000000001</v>
      </c>
      <c r="L17" s="6">
        <f>ROUND($I17*0.65,2)</f>
        <v>16199.95</v>
      </c>
    </row>
    <row r="18" spans="1:12" ht="15" customHeight="1" x14ac:dyDescent="0.25">
      <c r="A18" s="10">
        <f>Video!A16</f>
        <v>45913</v>
      </c>
      <c r="B18" s="6">
        <v>-4277.5</v>
      </c>
      <c r="C18" s="6">
        <v>13317</v>
      </c>
      <c r="D18" s="6">
        <v>0</v>
      </c>
      <c r="E18" s="6">
        <v>0</v>
      </c>
      <c r="F18" s="6">
        <v>-5476</v>
      </c>
      <c r="G18" s="6">
        <v>0</v>
      </c>
      <c r="H18" s="6">
        <v>3088</v>
      </c>
      <c r="I18" s="6">
        <f t="shared" ref="I18" si="12">SUM(B18:H18)</f>
        <v>6651.5</v>
      </c>
      <c r="J18" s="6">
        <f t="shared" si="1"/>
        <v>1995.45</v>
      </c>
      <c r="K18" s="6">
        <f t="shared" si="2"/>
        <v>332.58</v>
      </c>
      <c r="L18" s="6">
        <f>ROUND($I18*0.65,2)-0.01</f>
        <v>4323.4699999999993</v>
      </c>
    </row>
    <row r="19" spans="1:12" ht="15" customHeight="1" x14ac:dyDescent="0.25">
      <c r="A19" s="10">
        <f>Video!A17</f>
        <v>45920</v>
      </c>
      <c r="B19" s="6">
        <v>31369</v>
      </c>
      <c r="C19" s="6">
        <v>-21909</v>
      </c>
      <c r="D19" s="6">
        <v>0</v>
      </c>
      <c r="E19" s="6">
        <v>0</v>
      </c>
      <c r="F19" s="6">
        <v>20026</v>
      </c>
      <c r="G19" s="6">
        <v>0</v>
      </c>
      <c r="H19" s="6">
        <v>9666</v>
      </c>
      <c r="I19" s="6">
        <f t="shared" ref="I19" si="13">SUM(B19:H19)</f>
        <v>39152</v>
      </c>
      <c r="J19" s="6">
        <f t="shared" si="1"/>
        <v>11745.6</v>
      </c>
      <c r="K19" s="6">
        <f t="shared" si="2"/>
        <v>1957.6</v>
      </c>
      <c r="L19" s="6">
        <f>ROUND($I19*0.65,2)</f>
        <v>25448.799999999999</v>
      </c>
    </row>
    <row r="20" spans="1:12" ht="15" customHeight="1" x14ac:dyDescent="0.25">
      <c r="A20" s="10">
        <f>Video!A18</f>
        <v>45927</v>
      </c>
      <c r="B20" s="6">
        <v>279493.5</v>
      </c>
      <c r="C20" s="6">
        <v>-1662</v>
      </c>
      <c r="D20" s="6">
        <v>0</v>
      </c>
      <c r="E20" s="6">
        <v>0</v>
      </c>
      <c r="F20" s="6">
        <v>47555</v>
      </c>
      <c r="G20" s="6">
        <v>0</v>
      </c>
      <c r="H20" s="6">
        <v>8972</v>
      </c>
      <c r="I20" s="6">
        <f t="shared" ref="I20" si="14">SUM(B20:H20)</f>
        <v>334358.5</v>
      </c>
      <c r="J20" s="6">
        <f t="shared" si="1"/>
        <v>100307.55</v>
      </c>
      <c r="K20" s="6">
        <f t="shared" si="2"/>
        <v>16717.93</v>
      </c>
      <c r="L20" s="6">
        <f>ROUND($I20*0.65,2)-0.01</f>
        <v>217333.02</v>
      </c>
    </row>
    <row r="21" spans="1:12" ht="15" customHeight="1" x14ac:dyDescent="0.25">
      <c r="A21" s="10">
        <f>Video!A19</f>
        <v>45934</v>
      </c>
      <c r="B21" s="6">
        <v>51392.5</v>
      </c>
      <c r="C21" s="6">
        <v>5306</v>
      </c>
      <c r="D21" s="6">
        <v>0</v>
      </c>
      <c r="E21" s="6">
        <v>0</v>
      </c>
      <c r="F21" s="6">
        <v>-2486</v>
      </c>
      <c r="G21" s="6">
        <v>0</v>
      </c>
      <c r="H21" s="6">
        <v>9582</v>
      </c>
      <c r="I21" s="6">
        <f t="shared" ref="I21" si="15">SUM(B21:H21)</f>
        <v>63794.5</v>
      </c>
      <c r="J21" s="6">
        <f t="shared" si="1"/>
        <v>19138.349999999999</v>
      </c>
      <c r="K21" s="6">
        <f t="shared" si="2"/>
        <v>3189.73</v>
      </c>
      <c r="L21" s="6">
        <f>ROUND($I21*0.65,2)-0.01</f>
        <v>41466.42</v>
      </c>
    </row>
    <row r="22" spans="1:12" ht="15" customHeight="1" x14ac:dyDescent="0.25">
      <c r="A22" s="10">
        <f>Video!A20</f>
        <v>45941</v>
      </c>
      <c r="B22" s="6">
        <v>18002.5</v>
      </c>
      <c r="C22" s="6">
        <v>9296</v>
      </c>
      <c r="D22" s="6">
        <v>-2352</v>
      </c>
      <c r="E22" s="6">
        <v>0</v>
      </c>
      <c r="F22" s="6">
        <v>8364</v>
      </c>
      <c r="G22" s="6">
        <v>0</v>
      </c>
      <c r="H22" s="6">
        <v>6665</v>
      </c>
      <c r="I22" s="6">
        <f t="shared" ref="I22" si="16">SUM(B22:H22)</f>
        <v>39975.5</v>
      </c>
      <c r="J22" s="6">
        <f t="shared" si="1"/>
        <v>11992.65</v>
      </c>
      <c r="K22" s="6">
        <f t="shared" si="2"/>
        <v>1998.78</v>
      </c>
      <c r="L22" s="6">
        <f>ROUND($I22*0.65,2)-0.01</f>
        <v>25984.070000000003</v>
      </c>
    </row>
    <row r="23" spans="1:12" ht="15" customHeight="1" x14ac:dyDescent="0.25">
      <c r="A23" s="10">
        <f>Video!A21</f>
        <v>45948</v>
      </c>
      <c r="B23" s="6">
        <v>26178.5</v>
      </c>
      <c r="C23" s="6">
        <v>55592</v>
      </c>
      <c r="D23" s="6">
        <v>0</v>
      </c>
      <c r="E23" s="6">
        <v>0</v>
      </c>
      <c r="F23" s="6">
        <v>-3054</v>
      </c>
      <c r="G23" s="6">
        <v>0</v>
      </c>
      <c r="H23" s="6">
        <v>5925</v>
      </c>
      <c r="I23" s="6">
        <f t="shared" ref="I23" si="17">SUM(B23:H23)</f>
        <v>84641.5</v>
      </c>
      <c r="J23" s="6">
        <f t="shared" si="1"/>
        <v>25392.45</v>
      </c>
      <c r="K23" s="6">
        <f t="shared" si="2"/>
        <v>4232.08</v>
      </c>
      <c r="L23" s="6">
        <f>ROUND($I23*0.65,2)-0.01</f>
        <v>55016.97</v>
      </c>
    </row>
    <row r="24" spans="1:12" ht="15" customHeight="1" x14ac:dyDescent="0.25">
      <c r="A24" s="10">
        <f>Video!A22</f>
        <v>45955</v>
      </c>
      <c r="B24" s="6">
        <v>37497</v>
      </c>
      <c r="C24" s="6">
        <v>13395</v>
      </c>
      <c r="D24" s="6">
        <v>0</v>
      </c>
      <c r="E24" s="6">
        <v>0</v>
      </c>
      <c r="F24" s="6">
        <v>1256</v>
      </c>
      <c r="G24" s="6">
        <v>0</v>
      </c>
      <c r="H24" s="6">
        <v>17424</v>
      </c>
      <c r="I24" s="6">
        <f t="shared" ref="I24" si="18">SUM(B24:H24)</f>
        <v>69572</v>
      </c>
      <c r="J24" s="6">
        <f t="shared" si="1"/>
        <v>20871.599999999999</v>
      </c>
      <c r="K24" s="6">
        <f t="shared" si="2"/>
        <v>3478.6</v>
      </c>
      <c r="L24" s="6">
        <f>ROUND($I24*0.65,2)</f>
        <v>45221.8</v>
      </c>
    </row>
    <row r="25" spans="1:12" ht="15" customHeight="1" x14ac:dyDescent="0.25">
      <c r="A25" s="10">
        <f>Video!A23</f>
        <v>45962</v>
      </c>
      <c r="B25" s="6">
        <v>73576</v>
      </c>
      <c r="C25" s="6">
        <v>-7600</v>
      </c>
      <c r="D25" s="6">
        <v>0</v>
      </c>
      <c r="E25" s="6">
        <v>0</v>
      </c>
      <c r="F25" s="6">
        <v>31401</v>
      </c>
      <c r="G25" s="6">
        <v>0</v>
      </c>
      <c r="H25" s="6">
        <v>5340</v>
      </c>
      <c r="I25" s="6">
        <f t="shared" ref="I25" si="19">SUM(B25:H25)</f>
        <v>102717</v>
      </c>
      <c r="J25" s="6">
        <f t="shared" si="1"/>
        <v>30815.1</v>
      </c>
      <c r="K25" s="6">
        <f t="shared" ref="K25:K33" si="20">ROUND($I25*0.05,2)</f>
        <v>5135.8500000000004</v>
      </c>
      <c r="L25" s="6">
        <f>ROUND($I25*0.65,2)</f>
        <v>66766.05</v>
      </c>
    </row>
    <row r="26" spans="1:12" ht="15" customHeight="1" x14ac:dyDescent="0.25">
      <c r="A26" s="10">
        <f>Video!A24</f>
        <v>45969</v>
      </c>
      <c r="B26" s="6">
        <v>-28760</v>
      </c>
      <c r="C26" s="6">
        <v>-2287</v>
      </c>
      <c r="D26" s="6">
        <v>0</v>
      </c>
      <c r="E26" s="6">
        <v>0</v>
      </c>
      <c r="F26" s="6">
        <v>-10104</v>
      </c>
      <c r="G26" s="6">
        <v>-14925</v>
      </c>
      <c r="H26" s="6">
        <v>2708</v>
      </c>
      <c r="I26" s="6">
        <f t="shared" ref="I26" si="21">SUM(B26:H26)</f>
        <v>-53368</v>
      </c>
      <c r="J26" s="6">
        <f t="shared" si="1"/>
        <v>-16010.4</v>
      </c>
      <c r="K26" s="6">
        <f t="shared" si="20"/>
        <v>-2668.4</v>
      </c>
      <c r="L26" s="6">
        <f>ROUND($I26*0.65,2)</f>
        <v>-34689.199999999997</v>
      </c>
    </row>
    <row r="27" spans="1:12" ht="15" customHeight="1" x14ac:dyDescent="0.25">
      <c r="A27" s="10">
        <f>Video!A25</f>
        <v>45976</v>
      </c>
      <c r="B27" s="6">
        <v>311518</v>
      </c>
      <c r="C27" s="6">
        <v>3764</v>
      </c>
      <c r="D27" s="6">
        <v>0</v>
      </c>
      <c r="E27" s="6">
        <v>0</v>
      </c>
      <c r="F27" s="6">
        <v>-23068</v>
      </c>
      <c r="G27" s="6">
        <v>0</v>
      </c>
      <c r="H27" s="6">
        <v>4245</v>
      </c>
      <c r="I27" s="6">
        <f t="shared" ref="I27" si="22">SUM(B27:H27)</f>
        <v>296459</v>
      </c>
      <c r="J27" s="6">
        <f t="shared" si="1"/>
        <v>88937.7</v>
      </c>
      <c r="K27" s="6">
        <f t="shared" si="20"/>
        <v>14822.95</v>
      </c>
      <c r="L27" s="6">
        <f>ROUND($I27*0.65,2)</f>
        <v>192698.35</v>
      </c>
    </row>
    <row r="28" spans="1:12" ht="15" customHeight="1" x14ac:dyDescent="0.25">
      <c r="A28" s="10">
        <f>Video!A26</f>
        <v>45983</v>
      </c>
      <c r="B28" s="6">
        <v>270228.5</v>
      </c>
      <c r="C28" s="6">
        <v>7496</v>
      </c>
      <c r="D28" s="6">
        <v>0</v>
      </c>
      <c r="E28" s="6">
        <v>0</v>
      </c>
      <c r="F28" s="6">
        <v>19412</v>
      </c>
      <c r="G28" s="6">
        <v>0</v>
      </c>
      <c r="H28" s="6">
        <v>23551</v>
      </c>
      <c r="I28" s="6">
        <f t="shared" ref="I28" si="23">SUM(B28:H28)</f>
        <v>320687.5</v>
      </c>
      <c r="J28" s="6">
        <f t="shared" si="1"/>
        <v>96206.25</v>
      </c>
      <c r="K28" s="6">
        <f t="shared" si="20"/>
        <v>16034.38</v>
      </c>
      <c r="L28" s="6">
        <f>ROUND($I28*0.65,2)-0.01</f>
        <v>208446.87</v>
      </c>
    </row>
    <row r="29" spans="1:12" ht="15" customHeight="1" x14ac:dyDescent="0.25">
      <c r="A29" s="10">
        <f>Video!A27</f>
        <v>45990</v>
      </c>
      <c r="B29" s="6">
        <v>166110</v>
      </c>
      <c r="C29" s="6">
        <v>10367</v>
      </c>
      <c r="D29" s="6">
        <v>0</v>
      </c>
      <c r="E29" s="6">
        <v>0</v>
      </c>
      <c r="F29" s="6">
        <v>8650</v>
      </c>
      <c r="G29" s="6">
        <v>0</v>
      </c>
      <c r="H29" s="6">
        <v>10834</v>
      </c>
      <c r="I29" s="6">
        <f t="shared" ref="I29" si="24">SUM(B29:H29)</f>
        <v>195961</v>
      </c>
      <c r="J29" s="6">
        <f t="shared" si="1"/>
        <v>58788.3</v>
      </c>
      <c r="K29" s="6">
        <f t="shared" si="20"/>
        <v>9798.0499999999993</v>
      </c>
      <c r="L29" s="6">
        <f>ROUND($I29*0.65,2)</f>
        <v>127374.65</v>
      </c>
    </row>
    <row r="30" spans="1:12" ht="15" customHeight="1" x14ac:dyDescent="0.25">
      <c r="A30" s="10">
        <f>Video!A28</f>
        <v>45997</v>
      </c>
      <c r="B30" s="6">
        <v>89161</v>
      </c>
      <c r="C30" s="6">
        <v>33059</v>
      </c>
      <c r="D30" s="6">
        <v>0</v>
      </c>
      <c r="E30" s="6">
        <v>0</v>
      </c>
      <c r="F30" s="6">
        <v>8150</v>
      </c>
      <c r="G30" s="6">
        <v>0</v>
      </c>
      <c r="H30" s="6">
        <v>8838</v>
      </c>
      <c r="I30" s="6">
        <f t="shared" ref="I30" si="25">SUM(B30:H30)</f>
        <v>139208</v>
      </c>
      <c r="J30" s="6">
        <f t="shared" si="1"/>
        <v>41762.400000000001</v>
      </c>
      <c r="K30" s="6">
        <f t="shared" si="20"/>
        <v>6960.4</v>
      </c>
      <c r="L30" s="6">
        <f>ROUND($I30*0.65,2)</f>
        <v>90485.2</v>
      </c>
    </row>
    <row r="31" spans="1:12" ht="15" customHeight="1" x14ac:dyDescent="0.25">
      <c r="A31" s="10">
        <f>Video!A29</f>
        <v>46004</v>
      </c>
      <c r="B31" s="6">
        <v>-116544</v>
      </c>
      <c r="C31" s="6">
        <v>19118</v>
      </c>
      <c r="D31" s="6">
        <v>0</v>
      </c>
      <c r="E31" s="6">
        <v>0</v>
      </c>
      <c r="F31" s="6">
        <v>1777</v>
      </c>
      <c r="G31" s="6">
        <v>0</v>
      </c>
      <c r="H31" s="6">
        <v>5206</v>
      </c>
      <c r="I31" s="6">
        <f t="shared" ref="I31" si="26">SUM(B31:H31)</f>
        <v>-90443</v>
      </c>
      <c r="J31" s="6">
        <f t="shared" si="1"/>
        <v>-27132.9</v>
      </c>
      <c r="K31" s="6">
        <f t="shared" si="20"/>
        <v>-4522.1499999999996</v>
      </c>
      <c r="L31" s="6">
        <f>ROUND($I31*0.65,2)</f>
        <v>-58787.95</v>
      </c>
    </row>
    <row r="32" spans="1:12" ht="15" customHeight="1" x14ac:dyDescent="0.25">
      <c r="A32" s="10">
        <f>Video!A30</f>
        <v>46011</v>
      </c>
      <c r="B32" s="6">
        <v>133922.5</v>
      </c>
      <c r="C32" s="6">
        <v>15227</v>
      </c>
      <c r="D32" s="6">
        <v>300</v>
      </c>
      <c r="E32" s="6">
        <v>0</v>
      </c>
      <c r="F32" s="6">
        <v>19366</v>
      </c>
      <c r="G32" s="6">
        <v>200</v>
      </c>
      <c r="H32" s="6">
        <v>1295</v>
      </c>
      <c r="I32" s="6">
        <f t="shared" ref="I32" si="27">SUM(B32:H32)</f>
        <v>170310.5</v>
      </c>
      <c r="J32" s="6">
        <f t="shared" si="1"/>
        <v>51093.15</v>
      </c>
      <c r="K32" s="6">
        <f t="shared" si="20"/>
        <v>8515.5300000000007</v>
      </c>
      <c r="L32" s="6">
        <f>ROUND($I32*0.65,2)-0.01</f>
        <v>110701.82</v>
      </c>
    </row>
    <row r="33" spans="1:12" ht="15" customHeight="1" x14ac:dyDescent="0.25">
      <c r="A33" s="10">
        <f>Video!A31</f>
        <v>46018</v>
      </c>
      <c r="B33" s="6">
        <v>52624.5</v>
      </c>
      <c r="C33" s="6">
        <v>13660</v>
      </c>
      <c r="D33" s="6">
        <v>0</v>
      </c>
      <c r="E33" s="6">
        <v>0</v>
      </c>
      <c r="F33" s="6">
        <v>17596</v>
      </c>
      <c r="G33" s="6">
        <v>0</v>
      </c>
      <c r="H33" s="6">
        <v>1483</v>
      </c>
      <c r="I33" s="6">
        <f t="shared" ref="I33" si="28">SUM(B33:H33)</f>
        <v>85363.5</v>
      </c>
      <c r="J33" s="6">
        <f t="shared" si="1"/>
        <v>25609.05</v>
      </c>
      <c r="K33" s="6">
        <f t="shared" si="20"/>
        <v>4268.18</v>
      </c>
      <c r="L33" s="6">
        <f>ROUND($I33*0.65,2)-0.01</f>
        <v>55486.27</v>
      </c>
    </row>
    <row r="34" spans="1:12" ht="15" customHeight="1" x14ac:dyDescent="0.25">
      <c r="A34" s="10">
        <f>Video!A32</f>
        <v>46025</v>
      </c>
      <c r="B34" s="6">
        <v>126849</v>
      </c>
      <c r="C34" s="6">
        <v>13078</v>
      </c>
      <c r="D34" s="6">
        <v>-4165</v>
      </c>
      <c r="E34" s="6">
        <v>0</v>
      </c>
      <c r="F34" s="6">
        <v>5247</v>
      </c>
      <c r="G34" s="6">
        <v>10826</v>
      </c>
      <c r="H34" s="6">
        <v>19765</v>
      </c>
      <c r="I34" s="6">
        <f t="shared" ref="I34" si="29">SUM(B34:H34)</f>
        <v>171600</v>
      </c>
      <c r="J34" s="6">
        <f t="shared" si="1"/>
        <v>51480</v>
      </c>
      <c r="K34" s="6">
        <f t="shared" ref="K34:K41" si="30">ROUND($I34*0.05,2)</f>
        <v>8580</v>
      </c>
      <c r="L34" s="6">
        <f>ROUND($I34*0.65,2)</f>
        <v>111540</v>
      </c>
    </row>
    <row r="35" spans="1:12" ht="15" customHeight="1" x14ac:dyDescent="0.25">
      <c r="A35" s="10">
        <f>Video!A33</f>
        <v>46032</v>
      </c>
      <c r="B35" s="6">
        <v>-13385</v>
      </c>
      <c r="C35" s="6">
        <v>9483</v>
      </c>
      <c r="D35" s="6">
        <v>0</v>
      </c>
      <c r="E35" s="6">
        <v>0</v>
      </c>
      <c r="F35" s="6">
        <v>14337</v>
      </c>
      <c r="G35" s="6">
        <v>0</v>
      </c>
      <c r="H35" s="6">
        <v>2352</v>
      </c>
      <c r="I35" s="6">
        <f t="shared" ref="I35" si="31">SUM(B35:H35)</f>
        <v>12787</v>
      </c>
      <c r="J35" s="6">
        <f t="shared" si="1"/>
        <v>3836.1</v>
      </c>
      <c r="K35" s="6">
        <f t="shared" si="30"/>
        <v>639.35</v>
      </c>
      <c r="L35" s="6">
        <f>ROUND($I35*0.65,2)</f>
        <v>8311.5499999999993</v>
      </c>
    </row>
    <row r="36" spans="1:12" ht="15" customHeight="1" x14ac:dyDescent="0.25">
      <c r="A36" s="10">
        <f>Video!A34</f>
        <v>46039</v>
      </c>
      <c r="B36" s="6">
        <v>35013.5</v>
      </c>
      <c r="C36" s="6">
        <v>6828</v>
      </c>
      <c r="D36" s="6">
        <v>0</v>
      </c>
      <c r="E36" s="6">
        <v>0</v>
      </c>
      <c r="F36" s="6">
        <v>1768</v>
      </c>
      <c r="G36" s="6">
        <v>0</v>
      </c>
      <c r="H36" s="6">
        <v>6235</v>
      </c>
      <c r="I36" s="6">
        <f t="shared" ref="I36" si="32">SUM(B36:H36)</f>
        <v>49844.5</v>
      </c>
      <c r="J36" s="6">
        <f t="shared" si="1"/>
        <v>14953.35</v>
      </c>
      <c r="K36" s="6">
        <f t="shared" si="30"/>
        <v>2492.23</v>
      </c>
      <c r="L36" s="6">
        <f>ROUND($I36*0.65,2)-0.01</f>
        <v>32398.920000000002</v>
      </c>
    </row>
    <row r="37" spans="1:12" ht="15" customHeight="1" x14ac:dyDescent="0.25">
      <c r="A37" s="10">
        <f>Video!A35</f>
        <v>46046</v>
      </c>
      <c r="B37" s="6">
        <v>15338</v>
      </c>
      <c r="C37" s="6">
        <v>-5916</v>
      </c>
      <c r="D37" s="6">
        <v>0</v>
      </c>
      <c r="E37" s="6">
        <v>0</v>
      </c>
      <c r="F37" s="6">
        <v>14837</v>
      </c>
      <c r="G37" s="6">
        <v>0</v>
      </c>
      <c r="H37" s="6">
        <v>-3661</v>
      </c>
      <c r="I37" s="6">
        <f t="shared" ref="I37" si="33">SUM(B37:H37)</f>
        <v>20598</v>
      </c>
      <c r="J37" s="6">
        <f t="shared" si="1"/>
        <v>6179.4</v>
      </c>
      <c r="K37" s="6">
        <f t="shared" si="30"/>
        <v>1029.9000000000001</v>
      </c>
      <c r="L37" s="6">
        <f>ROUND($I37*0.65,2)</f>
        <v>13388.7</v>
      </c>
    </row>
    <row r="38" spans="1:12" ht="15" customHeight="1" x14ac:dyDescent="0.25">
      <c r="A38" s="10">
        <f>Video!A36</f>
        <v>46053</v>
      </c>
      <c r="B38" s="6">
        <v>-991.5</v>
      </c>
      <c r="C38" s="6">
        <v>-2242</v>
      </c>
      <c r="D38" s="6">
        <v>0</v>
      </c>
      <c r="E38" s="6">
        <v>0</v>
      </c>
      <c r="F38" s="6">
        <v>-643</v>
      </c>
      <c r="G38" s="6">
        <v>0</v>
      </c>
      <c r="H38" s="6">
        <v>6965</v>
      </c>
      <c r="I38" s="6">
        <f t="shared" ref="I38" si="34">SUM(B38:H38)</f>
        <v>3088.5</v>
      </c>
      <c r="J38" s="6">
        <f t="shared" si="1"/>
        <v>926.55</v>
      </c>
      <c r="K38" s="6">
        <f t="shared" si="30"/>
        <v>154.43</v>
      </c>
      <c r="L38" s="6">
        <f>ROUND($I38*0.65,2)-0.01</f>
        <v>2007.52</v>
      </c>
    </row>
    <row r="39" spans="1:12" ht="15" customHeight="1" x14ac:dyDescent="0.25">
      <c r="A39" s="10">
        <f>Video!A37</f>
        <v>46060</v>
      </c>
      <c r="B39" s="6">
        <v>17746.5</v>
      </c>
      <c r="C39" s="6">
        <v>8269</v>
      </c>
      <c r="D39" s="6">
        <v>1100</v>
      </c>
      <c r="E39" s="6">
        <v>0</v>
      </c>
      <c r="F39" s="6">
        <v>1262</v>
      </c>
      <c r="G39" s="6">
        <v>0</v>
      </c>
      <c r="H39" s="6">
        <v>-1734</v>
      </c>
      <c r="I39" s="6">
        <f t="shared" ref="I39" si="35">SUM(B39:H39)</f>
        <v>26643.5</v>
      </c>
      <c r="J39" s="6">
        <f t="shared" si="1"/>
        <v>7993.05</v>
      </c>
      <c r="K39" s="6">
        <f t="shared" si="30"/>
        <v>1332.18</v>
      </c>
      <c r="L39" s="6">
        <f>ROUND($I39*0.65,2)-0.01</f>
        <v>17318.27</v>
      </c>
    </row>
    <row r="40" spans="1:12" ht="15" customHeight="1" x14ac:dyDescent="0.25">
      <c r="A40" s="10">
        <f>Video!A38</f>
        <v>46067</v>
      </c>
      <c r="B40" s="6">
        <v>168502</v>
      </c>
      <c r="C40" s="6">
        <v>10672</v>
      </c>
      <c r="D40" s="6">
        <v>0</v>
      </c>
      <c r="E40" s="6">
        <v>0</v>
      </c>
      <c r="F40" s="6">
        <v>4759</v>
      </c>
      <c r="G40" s="6">
        <v>0</v>
      </c>
      <c r="H40" s="6">
        <v>6843</v>
      </c>
      <c r="I40" s="6">
        <f t="shared" ref="I40" si="36">SUM(B40:H40)</f>
        <v>190776</v>
      </c>
      <c r="J40" s="6">
        <f t="shared" si="1"/>
        <v>57232.800000000003</v>
      </c>
      <c r="K40" s="6">
        <f t="shared" si="30"/>
        <v>9538.7999999999993</v>
      </c>
      <c r="L40" s="6">
        <f>ROUND($I40*0.65,2)</f>
        <v>124004.4</v>
      </c>
    </row>
    <row r="41" spans="1:12" ht="15" customHeight="1" x14ac:dyDescent="0.25">
      <c r="A41" s="10">
        <f>Video!A39</f>
        <v>46074</v>
      </c>
      <c r="B41" s="6">
        <v>168074.5</v>
      </c>
      <c r="C41" s="6">
        <v>2965</v>
      </c>
      <c r="D41" s="6">
        <v>0</v>
      </c>
      <c r="E41" s="6">
        <v>0</v>
      </c>
      <c r="F41" s="6">
        <v>1333</v>
      </c>
      <c r="G41" s="6">
        <v>0</v>
      </c>
      <c r="H41" s="6">
        <v>769</v>
      </c>
      <c r="I41" s="6">
        <f t="shared" ref="I41" si="37">SUM(B41:H41)</f>
        <v>173141.5</v>
      </c>
      <c r="J41" s="6">
        <f t="shared" si="1"/>
        <v>51942.45</v>
      </c>
      <c r="K41" s="6">
        <f t="shared" si="30"/>
        <v>8657.08</v>
      </c>
      <c r="L41" s="6">
        <f>ROUND($I41*0.65,2)-0.01</f>
        <v>112541.97</v>
      </c>
    </row>
    <row r="42" spans="1:12" ht="15" customHeight="1" x14ac:dyDescent="0.25">
      <c r="A42" s="10"/>
      <c r="B42" s="6"/>
      <c r="C42" s="6"/>
      <c r="D42" s="6"/>
      <c r="E42" s="6"/>
      <c r="F42" s="6"/>
      <c r="G42" s="6"/>
      <c r="H42" s="6" t="s">
        <v>30</v>
      </c>
      <c r="I42" s="6"/>
      <c r="J42" s="6"/>
      <c r="K42" s="6"/>
      <c r="L42" s="6"/>
    </row>
    <row r="43" spans="1:12" ht="15" customHeight="1" thickBot="1" x14ac:dyDescent="0.3">
      <c r="B43" s="7">
        <f t="shared" ref="B43:L43" si="38">SUM(B8:B42)</f>
        <v>2353738</v>
      </c>
      <c r="C43" s="7">
        <f t="shared" si="38"/>
        <v>280517</v>
      </c>
      <c r="D43" s="7">
        <f t="shared" si="38"/>
        <v>26695.25</v>
      </c>
      <c r="E43" s="7">
        <f t="shared" si="38"/>
        <v>0</v>
      </c>
      <c r="F43" s="7">
        <f t="shared" si="38"/>
        <v>268264.5</v>
      </c>
      <c r="G43" s="7">
        <f t="shared" si="38"/>
        <v>-47175</v>
      </c>
      <c r="H43" s="7">
        <f t="shared" si="38"/>
        <v>230444</v>
      </c>
      <c r="I43" s="7">
        <f t="shared" si="38"/>
        <v>3112483.75</v>
      </c>
      <c r="J43" s="7">
        <f t="shared" si="38"/>
        <v>933745.13000000012</v>
      </c>
      <c r="K43" s="7">
        <f t="shared" si="38"/>
        <v>155624.26999999999</v>
      </c>
      <c r="L43" s="7">
        <f t="shared" si="38"/>
        <v>2023114.35</v>
      </c>
    </row>
    <row r="44" spans="1:12" ht="15" customHeight="1" thickTop="1" x14ac:dyDescent="0.25"/>
    <row r="45" spans="1:12" ht="15" customHeight="1" x14ac:dyDescent="0.25">
      <c r="A45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4"/>
  <sheetViews>
    <sheetView zoomScaleNormal="100" workbookViewId="0">
      <pane ySplit="3" topLeftCell="A13" activePane="bottomLeft" state="frozen"/>
      <selection pane="bottomLeft" activeCell="A41" sqref="A41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32</v>
      </c>
      <c r="B2" s="14">
        <v>46433344.560000002</v>
      </c>
      <c r="C2" s="14">
        <v>43022717.43999999</v>
      </c>
      <c r="D2" s="14">
        <v>896259.8</v>
      </c>
      <c r="E2" s="14">
        <v>2514367.3200000003</v>
      </c>
      <c r="F2" s="14">
        <v>905171.97999999963</v>
      </c>
      <c r="G2" s="14">
        <v>427442.44999999978</v>
      </c>
      <c r="H2" s="14">
        <v>118175.39000000004</v>
      </c>
      <c r="I2" s="14">
        <v>1063577.5000000002</v>
      </c>
      <c r="J2" s="14">
        <v>443.85</v>
      </c>
      <c r="K2" s="9">
        <v>103</v>
      </c>
    </row>
    <row r="4" spans="1:11" ht="15" customHeight="1" x14ac:dyDescent="0.2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34</v>
      </c>
      <c r="B6" s="6">
        <v>871449.8600000001</v>
      </c>
      <c r="C6" s="6">
        <v>824572.37999999989</v>
      </c>
      <c r="D6" s="6">
        <v>10274</v>
      </c>
      <c r="E6" s="6">
        <v>36603.480000000025</v>
      </c>
      <c r="F6" s="6">
        <v>13177.26</v>
      </c>
      <c r="G6" s="6">
        <v>6222.59</v>
      </c>
      <c r="H6" s="6">
        <v>1720.3600000000001</v>
      </c>
      <c r="I6" s="6">
        <v>15483.27</v>
      </c>
      <c r="J6" s="11">
        <f t="shared" ref="J6:J7" si="0">E6/K6</f>
        <v>307.59226890756321</v>
      </c>
      <c r="K6" s="9">
        <v>119</v>
      </c>
    </row>
    <row r="7" spans="1:11" ht="15" customHeight="1" x14ac:dyDescent="0.25">
      <c r="A7" s="10">
        <v>45850</v>
      </c>
      <c r="B7" s="6">
        <v>971152.38</v>
      </c>
      <c r="C7" s="6">
        <v>903304.04</v>
      </c>
      <c r="D7" s="6">
        <v>14140</v>
      </c>
      <c r="E7" s="6">
        <f t="shared" ref="E7" si="1">B7-C7-D7</f>
        <v>53708.339999999967</v>
      </c>
      <c r="F7" s="6">
        <f>ROUND($E7*0.36,2)-0.02</f>
        <v>19334.98</v>
      </c>
      <c r="G7" s="6">
        <f>ROUND($E7*0.17,2)</f>
        <v>9130.42</v>
      </c>
      <c r="H7" s="6">
        <f>ROUND($E7*0.047,2)+0.01</f>
        <v>2524.3000000000002</v>
      </c>
      <c r="I7" s="6">
        <f>ROUND($E7*0.423,2)+0.01</f>
        <v>22718.639999999999</v>
      </c>
      <c r="J7" s="11">
        <f t="shared" si="0"/>
        <v>516.42634615384588</v>
      </c>
      <c r="K7" s="9">
        <v>104</v>
      </c>
    </row>
    <row r="8" spans="1:11" ht="15" customHeight="1" x14ac:dyDescent="0.25">
      <c r="A8" s="10">
        <f t="shared" ref="A8:A39" si="2">A7+7</f>
        <v>45857</v>
      </c>
      <c r="B8" s="6">
        <v>786620.75</v>
      </c>
      <c r="C8" s="6">
        <v>817035.88</v>
      </c>
      <c r="D8" s="6">
        <v>17388</v>
      </c>
      <c r="E8" s="6">
        <f t="shared" ref="E8" si="3">B8-C8-D8</f>
        <v>-47803.130000000005</v>
      </c>
      <c r="F8" s="6">
        <f>ROUND($E8*0.36,2)+0.02</f>
        <v>-17209.11</v>
      </c>
      <c r="G8" s="6">
        <f>ROUND($E8*0.17,2)</f>
        <v>-8126.53</v>
      </c>
      <c r="H8" s="6">
        <f>ROUND($E8*0.047,2)-0.01</f>
        <v>-2246.7600000000002</v>
      </c>
      <c r="I8" s="6">
        <f>ROUND($E8*0.423,2)-0.01</f>
        <v>-20220.73</v>
      </c>
      <c r="J8" s="11">
        <f t="shared" ref="J8" si="4">E8/K8</f>
        <v>-423.03654867256643</v>
      </c>
      <c r="K8" s="9">
        <v>113</v>
      </c>
    </row>
    <row r="9" spans="1:11" ht="15" customHeight="1" x14ac:dyDescent="0.25">
      <c r="A9" s="10">
        <f t="shared" si="2"/>
        <v>45864</v>
      </c>
      <c r="B9" s="6">
        <v>2080409.93</v>
      </c>
      <c r="C9" s="6">
        <v>1945148.88</v>
      </c>
      <c r="D9" s="6">
        <v>60348</v>
      </c>
      <c r="E9" s="6">
        <f t="shared" ref="E9" si="5">B9-C9-D9</f>
        <v>74913.050000000047</v>
      </c>
      <c r="F9" s="6">
        <f>ROUND($E9*0.36,2)+0.01</f>
        <v>26968.71</v>
      </c>
      <c r="G9" s="6">
        <f>ROUND($E9*0.17,2)-0.01</f>
        <v>12735.21</v>
      </c>
      <c r="H9" s="6">
        <f>ROUND($E9*0.047,2)</f>
        <v>3520.91</v>
      </c>
      <c r="I9" s="6">
        <f>ROUND($E9*0.423,2)</f>
        <v>31688.22</v>
      </c>
      <c r="J9" s="11">
        <f t="shared" ref="J9" si="6">E9/K9</f>
        <v>599.30440000000033</v>
      </c>
      <c r="K9" s="9">
        <v>125</v>
      </c>
    </row>
    <row r="10" spans="1:11" ht="15" customHeight="1" x14ac:dyDescent="0.25">
      <c r="A10" s="10">
        <f t="shared" si="2"/>
        <v>45871</v>
      </c>
      <c r="B10" s="6">
        <v>1522295.3199999998</v>
      </c>
      <c r="C10" s="6">
        <v>1365271.73</v>
      </c>
      <c r="D10" s="6">
        <v>29716</v>
      </c>
      <c r="E10" s="6">
        <f t="shared" ref="E10" si="7">B10-C10-D10</f>
        <v>127307.58999999985</v>
      </c>
      <c r="F10" s="6">
        <f>ROUND($E10*0.36,2)</f>
        <v>45830.73</v>
      </c>
      <c r="G10" s="6">
        <f>ROUND($E10*0.17,2)+0.01</f>
        <v>21642.3</v>
      </c>
      <c r="H10" s="6">
        <f>ROUND($E10*0.047,2)-0.01</f>
        <v>5983.45</v>
      </c>
      <c r="I10" s="6">
        <f>ROUND($E10*0.423,2)</f>
        <v>53851.11</v>
      </c>
      <c r="J10" s="11">
        <f t="shared" ref="J10" si="8">E10/K10</f>
        <v>1248.113627450979</v>
      </c>
      <c r="K10" s="9">
        <v>102</v>
      </c>
    </row>
    <row r="11" spans="1:11" ht="15" customHeight="1" x14ac:dyDescent="0.25">
      <c r="A11" s="10">
        <f t="shared" si="2"/>
        <v>45878</v>
      </c>
      <c r="B11" s="6">
        <v>701731.87</v>
      </c>
      <c r="C11" s="6">
        <v>640443.20000000007</v>
      </c>
      <c r="D11" s="6">
        <v>10085</v>
      </c>
      <c r="E11" s="6">
        <f t="shared" ref="E11" si="9">B11-C11-D11</f>
        <v>51203.669999999925</v>
      </c>
      <c r="F11" s="6">
        <f>ROUND($E11*0.36,2)</f>
        <v>18433.32</v>
      </c>
      <c r="G11" s="6">
        <f>ROUND($E11*0.17,2)</f>
        <v>8704.6200000000008</v>
      </c>
      <c r="H11" s="6">
        <f>ROUND($E11*0.047,2)+0.01</f>
        <v>2406.5800000000004</v>
      </c>
      <c r="I11" s="6">
        <f>ROUND($E11*0.423,2)</f>
        <v>21659.15</v>
      </c>
      <c r="J11" s="11">
        <f t="shared" ref="J11" si="10">E11/K11</f>
        <v>517.20878787878712</v>
      </c>
      <c r="K11" s="9">
        <v>99</v>
      </c>
    </row>
    <row r="12" spans="1:11" ht="15" customHeight="1" x14ac:dyDescent="0.25">
      <c r="A12" s="10">
        <f t="shared" si="2"/>
        <v>45885</v>
      </c>
      <c r="B12" s="6">
        <v>905788.5</v>
      </c>
      <c r="C12" s="6">
        <v>832728.72</v>
      </c>
      <c r="D12" s="6">
        <v>12998</v>
      </c>
      <c r="E12" s="6">
        <f t="shared" ref="E12" si="11">B12-C12-D12</f>
        <v>60061.780000000028</v>
      </c>
      <c r="F12" s="6">
        <f>ROUND($E12*0.36,2)</f>
        <v>21622.240000000002</v>
      </c>
      <c r="G12" s="6">
        <f>ROUND($E12*0.17,2)+0.01</f>
        <v>10210.51</v>
      </c>
      <c r="H12" s="6">
        <f>ROUND($E12*0.047,2)</f>
        <v>2822.9</v>
      </c>
      <c r="I12" s="6">
        <f>ROUND($E12*0.423,2)</f>
        <v>25406.13</v>
      </c>
      <c r="J12" s="11">
        <f t="shared" ref="J12" si="12">E12/K12</f>
        <v>561.32504672897221</v>
      </c>
      <c r="K12" s="9">
        <v>107</v>
      </c>
    </row>
    <row r="13" spans="1:11" ht="15" customHeight="1" x14ac:dyDescent="0.25">
      <c r="A13" s="10">
        <f t="shared" si="2"/>
        <v>45892</v>
      </c>
      <c r="B13" s="6">
        <v>1751995.44</v>
      </c>
      <c r="C13" s="6">
        <v>1566525.8599999999</v>
      </c>
      <c r="D13" s="6">
        <v>42140</v>
      </c>
      <c r="E13" s="6">
        <f t="shared" ref="E13" si="13">B13-C13-D13</f>
        <v>143329.58000000007</v>
      </c>
      <c r="F13" s="6">
        <f>ROUND($E13*0.36,2)</f>
        <v>51598.65</v>
      </c>
      <c r="G13" s="6">
        <f>ROUND($E13*0.17,2)-0.01</f>
        <v>24366.02</v>
      </c>
      <c r="H13" s="6">
        <f>ROUND($E13*0.047,2)+0.01</f>
        <v>6736.5</v>
      </c>
      <c r="I13" s="6">
        <f>ROUND($E13*0.423,2)</f>
        <v>60628.41</v>
      </c>
      <c r="J13" s="11">
        <f t="shared" ref="J13" si="14">E13/K13</f>
        <v>1365.0436190476198</v>
      </c>
      <c r="K13" s="9">
        <v>105</v>
      </c>
    </row>
    <row r="14" spans="1:11" ht="15" customHeight="1" x14ac:dyDescent="0.25">
      <c r="A14" s="10">
        <f t="shared" si="2"/>
        <v>45899</v>
      </c>
      <c r="B14" s="6">
        <v>870846.26</v>
      </c>
      <c r="C14" s="6">
        <v>784991.97000000009</v>
      </c>
      <c r="D14" s="6">
        <v>14667</v>
      </c>
      <c r="E14" s="6">
        <f t="shared" ref="E14" si="15">B14-C14-D14</f>
        <v>71187.289999999921</v>
      </c>
      <c r="F14" s="6">
        <f>ROUND($E14*0.36,2)+0.02</f>
        <v>25627.439999999999</v>
      </c>
      <c r="G14" s="6">
        <f>ROUND($E14*0.17,2)</f>
        <v>12101.84</v>
      </c>
      <c r="H14" s="6">
        <f>ROUND($E14*0.047,2)</f>
        <v>3345.8</v>
      </c>
      <c r="I14" s="6">
        <f>ROUND($E14*0.423,2)-0.01</f>
        <v>30112.210000000003</v>
      </c>
      <c r="J14" s="11">
        <f t="shared" ref="J14" si="16">E14/K14</f>
        <v>749.3398947368413</v>
      </c>
      <c r="K14" s="9">
        <v>95</v>
      </c>
    </row>
    <row r="15" spans="1:11" ht="15" customHeight="1" x14ac:dyDescent="0.25">
      <c r="A15" s="10">
        <f t="shared" si="2"/>
        <v>45906</v>
      </c>
      <c r="B15" s="6">
        <v>267739.79000000004</v>
      </c>
      <c r="C15" s="6">
        <v>258676.03999999998</v>
      </c>
      <c r="D15" s="6">
        <v>4342</v>
      </c>
      <c r="E15" s="6">
        <f t="shared" ref="E15" si="17">B15-C15-D15</f>
        <v>4721.7500000000582</v>
      </c>
      <c r="F15" s="6">
        <f>ROUND($E15*0.36,2)-0.02</f>
        <v>1699.81</v>
      </c>
      <c r="G15" s="6">
        <f>ROUND($E15*0.17,2)</f>
        <v>802.7</v>
      </c>
      <c r="H15" s="6">
        <f>ROUND($E15*0.047,2)+0.01</f>
        <v>221.92999999999998</v>
      </c>
      <c r="I15" s="6">
        <f>ROUND($E15*0.423,2)+0.01</f>
        <v>1997.31</v>
      </c>
      <c r="J15" s="11">
        <f t="shared" ref="J15" si="18">E15/K15</f>
        <v>57.582317073171438</v>
      </c>
      <c r="K15" s="9">
        <v>82</v>
      </c>
    </row>
    <row r="16" spans="1:11" ht="15" customHeight="1" x14ac:dyDescent="0.25">
      <c r="A16" s="10">
        <f t="shared" si="2"/>
        <v>45913</v>
      </c>
      <c r="B16" s="6">
        <v>224498.11000000004</v>
      </c>
      <c r="C16" s="6">
        <v>203883.33999999997</v>
      </c>
      <c r="D16" s="6">
        <v>6048</v>
      </c>
      <c r="E16" s="6">
        <f t="shared" ref="E16" si="19">B16-C16-D16</f>
        <v>14566.770000000077</v>
      </c>
      <c r="F16" s="6">
        <f>ROUND($E16*0.36,2)-0.03</f>
        <v>5244.01</v>
      </c>
      <c r="G16" s="6">
        <f>ROUND($E16*0.17,2)+0.01</f>
        <v>2476.36</v>
      </c>
      <c r="H16" s="6">
        <f>ROUND($E16*0.047,2)+0.01</f>
        <v>684.65</v>
      </c>
      <c r="I16" s="6">
        <f>ROUND($E16*0.423,2)+0.01</f>
        <v>6161.75</v>
      </c>
      <c r="J16" s="11">
        <f t="shared" ref="J16" si="20">E16/K16</f>
        <v>160.07439560439644</v>
      </c>
      <c r="K16" s="9">
        <v>91</v>
      </c>
    </row>
    <row r="17" spans="1:11" ht="15" customHeight="1" x14ac:dyDescent="0.25">
      <c r="A17" s="10">
        <f t="shared" si="2"/>
        <v>45920</v>
      </c>
      <c r="B17" s="6">
        <v>773442.02</v>
      </c>
      <c r="C17" s="6">
        <v>703640.22</v>
      </c>
      <c r="D17" s="6">
        <v>16157</v>
      </c>
      <c r="E17" s="6">
        <f t="shared" ref="E17" si="21">B17-C17-D17</f>
        <v>53644.800000000047</v>
      </c>
      <c r="F17" s="6">
        <f>ROUND($E17*0.36,2)-0.01</f>
        <v>19312.120000000003</v>
      </c>
      <c r="G17" s="6">
        <f>ROUND($E17*0.17,2)</f>
        <v>9119.6200000000008</v>
      </c>
      <c r="H17" s="6">
        <f>ROUND($E17*0.047,2)</f>
        <v>2521.31</v>
      </c>
      <c r="I17" s="6">
        <f>ROUND($E17*0.423,2)</f>
        <v>22691.75</v>
      </c>
      <c r="J17" s="11">
        <f t="shared" ref="J17" si="22">E17/K17</f>
        <v>515.81538461538503</v>
      </c>
      <c r="K17" s="9">
        <v>104</v>
      </c>
    </row>
    <row r="18" spans="1:11" ht="15" customHeight="1" x14ac:dyDescent="0.25">
      <c r="A18" s="10">
        <f t="shared" si="2"/>
        <v>45927</v>
      </c>
      <c r="B18" s="6">
        <v>1385245.48</v>
      </c>
      <c r="C18" s="6">
        <v>1294996.07</v>
      </c>
      <c r="D18" s="6">
        <v>35658</v>
      </c>
      <c r="E18" s="6">
        <f t="shared" ref="E18" si="23">B18-C18-D18</f>
        <v>54591.409999999916</v>
      </c>
      <c r="F18" s="6">
        <f>ROUND($E18*0.36,2)+0.01</f>
        <v>19652.919999999998</v>
      </c>
      <c r="G18" s="6">
        <f>ROUND($E18*0.17,2)-0.01</f>
        <v>9280.5300000000007</v>
      </c>
      <c r="H18" s="6">
        <f>ROUND($E18*0.047,2)-0.01</f>
        <v>2565.79</v>
      </c>
      <c r="I18" s="6">
        <f>ROUND($E18*0.423,2)</f>
        <v>23092.17</v>
      </c>
      <c r="J18" s="11">
        <f t="shared" ref="J18" si="24">E18/K18</f>
        <v>496.28554545454472</v>
      </c>
      <c r="K18" s="9">
        <v>110</v>
      </c>
    </row>
    <row r="19" spans="1:11" ht="15" customHeight="1" x14ac:dyDescent="0.25">
      <c r="A19" s="10">
        <f t="shared" si="2"/>
        <v>45934</v>
      </c>
      <c r="B19" s="6">
        <v>567173.64</v>
      </c>
      <c r="C19" s="6">
        <v>536107.48</v>
      </c>
      <c r="D19" s="6">
        <v>7474</v>
      </c>
      <c r="E19" s="6">
        <f t="shared" ref="E19" si="25">B19-C19-D19</f>
        <v>23592.160000000033</v>
      </c>
      <c r="F19" s="6">
        <f>ROUND($E19*0.36,2)+0.01</f>
        <v>8493.19</v>
      </c>
      <c r="G19" s="6">
        <f>ROUND($E19*0.17,2)</f>
        <v>4010.67</v>
      </c>
      <c r="H19" s="6">
        <f>ROUND($E19*0.047,2)</f>
        <v>1108.83</v>
      </c>
      <c r="I19" s="6">
        <f>ROUND($E19*0.423,2)-0.01</f>
        <v>9979.4699999999993</v>
      </c>
      <c r="J19" s="11">
        <f t="shared" ref="J19" si="26">E19/K19</f>
        <v>248.33852631578981</v>
      </c>
      <c r="K19" s="9">
        <v>95</v>
      </c>
    </row>
    <row r="20" spans="1:11" ht="15" customHeight="1" x14ac:dyDescent="0.25">
      <c r="A20" s="10">
        <f t="shared" si="2"/>
        <v>45941</v>
      </c>
      <c r="B20" s="6">
        <v>427984.13000000006</v>
      </c>
      <c r="C20" s="6">
        <v>374261.91</v>
      </c>
      <c r="D20" s="6">
        <v>7766</v>
      </c>
      <c r="E20" s="6">
        <f t="shared" ref="E20" si="27">B20-C20-D20</f>
        <v>45956.220000000088</v>
      </c>
      <c r="F20" s="6">
        <f>ROUND($E20*0.36,2)-0.01</f>
        <v>16544.230000000003</v>
      </c>
      <c r="G20" s="6">
        <f>ROUND($E20*0.17,2)</f>
        <v>7812.56</v>
      </c>
      <c r="H20" s="6">
        <f>ROUND($E20*0.047,2)+0.01</f>
        <v>2159.9500000000003</v>
      </c>
      <c r="I20" s="6">
        <f>ROUND($E20*0.423,2)</f>
        <v>19439.48</v>
      </c>
      <c r="J20" s="11">
        <f t="shared" ref="J20:J25" si="28">E20/K20</f>
        <v>468.94102040816415</v>
      </c>
      <c r="K20" s="9">
        <v>98</v>
      </c>
    </row>
    <row r="21" spans="1:11" ht="15" customHeight="1" x14ac:dyDescent="0.25">
      <c r="A21" s="10">
        <f t="shared" si="2"/>
        <v>45948</v>
      </c>
      <c r="B21" s="6">
        <v>884241.15</v>
      </c>
      <c r="C21" s="6">
        <v>779572.84000000008</v>
      </c>
      <c r="D21" s="6">
        <v>66613</v>
      </c>
      <c r="E21" s="6">
        <f t="shared" ref="E21" si="29">B21-C21-D21</f>
        <v>38055.309999999939</v>
      </c>
      <c r="F21" s="6">
        <f>ROUND($E21*0.36,2)+0.01</f>
        <v>13699.92</v>
      </c>
      <c r="G21" s="6">
        <f>ROUND($E21*0.17,2)</f>
        <v>6469.4</v>
      </c>
      <c r="H21" s="6">
        <f>ROUND($E21*0.047,2)-0.01</f>
        <v>1788.59</v>
      </c>
      <c r="I21" s="6">
        <f>ROUND($E21*0.423,2)</f>
        <v>16097.4</v>
      </c>
      <c r="J21" s="11">
        <f t="shared" si="28"/>
        <v>400.58221052631518</v>
      </c>
      <c r="K21" s="9">
        <v>95</v>
      </c>
    </row>
    <row r="22" spans="1:11" ht="15" customHeight="1" x14ac:dyDescent="0.25">
      <c r="A22" s="10">
        <f t="shared" si="2"/>
        <v>45955</v>
      </c>
      <c r="B22" s="6">
        <v>471179.97</v>
      </c>
      <c r="C22" s="6">
        <v>398162.96</v>
      </c>
      <c r="D22" s="6">
        <v>3451</v>
      </c>
      <c r="E22" s="6">
        <f t="shared" ref="E22" si="30">B22-C22-D22</f>
        <v>69566.009999999951</v>
      </c>
      <c r="F22" s="6">
        <f>ROUND($E22*0.36,2)-0.01</f>
        <v>25043.75</v>
      </c>
      <c r="G22" s="6">
        <f>ROUND($E22*0.17,2)</f>
        <v>11826.22</v>
      </c>
      <c r="H22" s="6">
        <f>ROUND($E22*0.047,2)+0.01</f>
        <v>3269.61</v>
      </c>
      <c r="I22" s="6">
        <f>ROUND($E22*0.423,2)+0.01</f>
        <v>29426.429999999997</v>
      </c>
      <c r="J22" s="11">
        <f t="shared" si="28"/>
        <v>682.01970588235247</v>
      </c>
      <c r="K22" s="9">
        <v>102</v>
      </c>
    </row>
    <row r="23" spans="1:11" ht="15" customHeight="1" x14ac:dyDescent="0.25">
      <c r="A23" s="10">
        <f t="shared" si="2"/>
        <v>45962</v>
      </c>
      <c r="B23" s="6">
        <v>1210106.0499999998</v>
      </c>
      <c r="C23" s="6">
        <v>1050047.6400000001</v>
      </c>
      <c r="D23" s="6">
        <v>42875</v>
      </c>
      <c r="E23" s="6">
        <f t="shared" ref="E23" si="31">B23-C23-D23</f>
        <v>117183.40999999968</v>
      </c>
      <c r="F23" s="6">
        <f>ROUND($E23*0.36,2)+0.02</f>
        <v>42186.049999999996</v>
      </c>
      <c r="G23" s="6">
        <f>ROUND($E23*0.17,2)-0.01</f>
        <v>19921.170000000002</v>
      </c>
      <c r="H23" s="6">
        <f>ROUND($E23*0.047,2)</f>
        <v>5507.62</v>
      </c>
      <c r="I23" s="6">
        <f>ROUND($E23*0.423,2)-0.01</f>
        <v>49568.57</v>
      </c>
      <c r="J23" s="11">
        <f t="shared" si="28"/>
        <v>1037.0213274336256</v>
      </c>
      <c r="K23" s="9">
        <v>113</v>
      </c>
    </row>
    <row r="24" spans="1:11" ht="15" customHeight="1" x14ac:dyDescent="0.25">
      <c r="A24" s="10">
        <f t="shared" si="2"/>
        <v>45969</v>
      </c>
      <c r="B24" s="6">
        <v>486921.61</v>
      </c>
      <c r="C24" s="6">
        <v>446279.72000000003</v>
      </c>
      <c r="D24" s="6">
        <v>9508</v>
      </c>
      <c r="E24" s="6">
        <f t="shared" ref="E24" si="32">B24-C24-D24</f>
        <v>31133.889999999956</v>
      </c>
      <c r="F24" s="6">
        <f>ROUND($E24*0.36,2)+0.01</f>
        <v>11208.210000000001</v>
      </c>
      <c r="G24" s="6">
        <f>ROUND($E24*0.17,2)</f>
        <v>5292.76</v>
      </c>
      <c r="H24" s="6">
        <f>ROUND($E24*0.047,2)+0.01</f>
        <v>1463.3</v>
      </c>
      <c r="I24" s="6">
        <f>ROUND($E24*0.423,2)-0.02</f>
        <v>13169.619999999999</v>
      </c>
      <c r="J24" s="11">
        <f t="shared" si="28"/>
        <v>302.27077669902872</v>
      </c>
      <c r="K24" s="9">
        <v>103</v>
      </c>
    </row>
    <row r="25" spans="1:11" ht="15" customHeight="1" x14ac:dyDescent="0.25">
      <c r="A25" s="10">
        <f t="shared" si="2"/>
        <v>45976</v>
      </c>
      <c r="B25" s="6">
        <v>797657.45</v>
      </c>
      <c r="C25" s="6">
        <v>765123.1</v>
      </c>
      <c r="D25" s="6">
        <v>13093</v>
      </c>
      <c r="E25" s="6">
        <f t="shared" ref="E25" si="33">B25-C25-D25</f>
        <v>19441.349999999977</v>
      </c>
      <c r="F25" s="6">
        <f>ROUND($E25*0.36,2)</f>
        <v>6998.89</v>
      </c>
      <c r="G25" s="6">
        <f>ROUND($E25*0.17,2)-0.01</f>
        <v>3305.02</v>
      </c>
      <c r="H25" s="6">
        <f>ROUND($E25*0.047,2)</f>
        <v>913.74</v>
      </c>
      <c r="I25" s="6">
        <f>ROUND($E25*0.423,2)+0.01</f>
        <v>8223.7000000000007</v>
      </c>
      <c r="J25" s="11">
        <f t="shared" si="28"/>
        <v>194.41349999999977</v>
      </c>
      <c r="K25" s="9">
        <v>100</v>
      </c>
    </row>
    <row r="26" spans="1:11" ht="15" customHeight="1" x14ac:dyDescent="0.25">
      <c r="A26" s="10">
        <f t="shared" si="2"/>
        <v>45983</v>
      </c>
      <c r="B26" s="6">
        <v>334551.09000000003</v>
      </c>
      <c r="C26" s="6">
        <v>306262.52</v>
      </c>
      <c r="D26" s="6">
        <v>22934</v>
      </c>
      <c r="E26" s="6">
        <f t="shared" ref="E26" si="34">B26-C26-D26</f>
        <v>5354.570000000007</v>
      </c>
      <c r="F26" s="6">
        <f>ROUND($E26*0.36,2)+0.01</f>
        <v>1927.66</v>
      </c>
      <c r="G26" s="6">
        <f>ROUND($E26*0.17,2)</f>
        <v>910.28</v>
      </c>
      <c r="H26" s="6">
        <f>ROUND($E26*0.047,2)</f>
        <v>251.66</v>
      </c>
      <c r="I26" s="6">
        <f>ROUND($E26*0.423,2)-0.01</f>
        <v>2264.9699999999998</v>
      </c>
      <c r="J26" s="11">
        <f t="shared" ref="J26" si="35">E26/K26</f>
        <v>59.495222222222303</v>
      </c>
      <c r="K26" s="9">
        <v>90</v>
      </c>
    </row>
    <row r="27" spans="1:11" ht="15" customHeight="1" x14ac:dyDescent="0.25">
      <c r="A27" s="10">
        <f t="shared" si="2"/>
        <v>45990</v>
      </c>
      <c r="B27" s="6">
        <v>911848.54999999993</v>
      </c>
      <c r="C27" s="6">
        <v>815700.74</v>
      </c>
      <c r="D27" s="6">
        <v>29493</v>
      </c>
      <c r="E27" s="6">
        <f t="shared" ref="E27" si="36">B27-C27-D27</f>
        <v>66654.809999999939</v>
      </c>
      <c r="F27" s="6">
        <f>ROUND($E27*0.36,2)</f>
        <v>23995.73</v>
      </c>
      <c r="G27" s="6">
        <f>ROUND($E27*0.17,2)</f>
        <v>11331.32</v>
      </c>
      <c r="H27" s="6">
        <f>ROUND($E27*0.047,2)-0.01</f>
        <v>3132.77</v>
      </c>
      <c r="I27" s="6">
        <f>ROUND($E27*0.423,2)+0.01</f>
        <v>28194.989999999998</v>
      </c>
      <c r="J27" s="11">
        <f t="shared" ref="J27" si="37">E27/K27</f>
        <v>584.69131578947315</v>
      </c>
      <c r="K27" s="9">
        <v>114</v>
      </c>
    </row>
    <row r="28" spans="1:11" ht="15" customHeight="1" x14ac:dyDescent="0.25">
      <c r="A28" s="10">
        <f t="shared" si="2"/>
        <v>45997</v>
      </c>
      <c r="B28" s="6">
        <v>1061898.4100000001</v>
      </c>
      <c r="C28" s="6">
        <v>1031360.7999999999</v>
      </c>
      <c r="D28" s="6">
        <v>16035</v>
      </c>
      <c r="E28" s="6">
        <f t="shared" ref="E28" si="38">B28-C28-D28</f>
        <v>14502.610000000219</v>
      </c>
      <c r="F28" s="6">
        <f>ROUND($E28*0.36,2)+0.02</f>
        <v>5220.96</v>
      </c>
      <c r="G28" s="6">
        <f>ROUND($E28*0.17,2)</f>
        <v>2465.44</v>
      </c>
      <c r="H28" s="6">
        <f>ROUND($E28*0.047,2)-0.01</f>
        <v>681.61</v>
      </c>
      <c r="I28" s="6">
        <f>ROUND($E28*0.423,2)</f>
        <v>6134.6</v>
      </c>
      <c r="J28" s="11">
        <f t="shared" ref="J28" si="39">E28/K28</f>
        <v>138.12009523809732</v>
      </c>
      <c r="K28" s="9">
        <v>105</v>
      </c>
    </row>
    <row r="29" spans="1:11" ht="15" customHeight="1" x14ac:dyDescent="0.25">
      <c r="A29" s="10">
        <f t="shared" si="2"/>
        <v>46004</v>
      </c>
      <c r="B29" s="6">
        <v>687727.65999999992</v>
      </c>
      <c r="C29" s="6">
        <v>624450.86</v>
      </c>
      <c r="D29" s="6">
        <v>6207</v>
      </c>
      <c r="E29" s="6">
        <f t="shared" ref="E29" si="40">B29-C29-D29</f>
        <v>57069.79999999993</v>
      </c>
      <c r="F29" s="6">
        <f>ROUND($E29*0.36,2)</f>
        <v>20545.13</v>
      </c>
      <c r="G29" s="6">
        <f>ROUND($E29*0.17,2)</f>
        <v>9701.8700000000008</v>
      </c>
      <c r="H29" s="6">
        <f>ROUND($E29*0.047,2)</f>
        <v>2682.28</v>
      </c>
      <c r="I29" s="6">
        <f>ROUND($E29*0.423,2)-0.01</f>
        <v>24140.52</v>
      </c>
      <c r="J29" s="11">
        <f t="shared" ref="J29" si="41">E29/K29</f>
        <v>505.04247787610558</v>
      </c>
      <c r="K29" s="9">
        <v>113</v>
      </c>
    </row>
    <row r="30" spans="1:11" ht="15" customHeight="1" x14ac:dyDescent="0.25">
      <c r="A30" s="10">
        <f t="shared" si="2"/>
        <v>46011</v>
      </c>
      <c r="B30" s="6">
        <v>1114853.04</v>
      </c>
      <c r="C30" s="6">
        <v>1029405.1799999999</v>
      </c>
      <c r="D30" s="6">
        <v>28815</v>
      </c>
      <c r="E30" s="6">
        <f t="shared" ref="E30" si="42">B30-C30-D30</f>
        <v>56632.860000000102</v>
      </c>
      <c r="F30" s="6">
        <f>ROUND($E30*0.36,2)-0.01</f>
        <v>20387.820000000003</v>
      </c>
      <c r="G30" s="6">
        <f>ROUND($E30*0.17,2)-0.01</f>
        <v>9627.58</v>
      </c>
      <c r="H30" s="6">
        <f>ROUND($E30*0.047,2)+0.01</f>
        <v>2661.75</v>
      </c>
      <c r="I30" s="6">
        <f>ROUND($E30*0.423,2)+0.01</f>
        <v>23955.71</v>
      </c>
      <c r="J30" s="11">
        <f t="shared" ref="J30" si="43">E30/K30</f>
        <v>510.20594594594689</v>
      </c>
      <c r="K30" s="9">
        <v>111</v>
      </c>
    </row>
    <row r="31" spans="1:11" ht="15" customHeight="1" x14ac:dyDescent="0.25">
      <c r="A31" s="10">
        <f t="shared" si="2"/>
        <v>46018</v>
      </c>
      <c r="B31" s="6">
        <v>848988.27</v>
      </c>
      <c r="C31" s="6">
        <v>850096.35</v>
      </c>
      <c r="D31" s="6">
        <v>11107</v>
      </c>
      <c r="E31" s="6">
        <f t="shared" ref="E31" si="44">B31-C31-D31</f>
        <v>-12215.079999999958</v>
      </c>
      <c r="F31" s="6">
        <f>ROUND($E31*0.36,2)</f>
        <v>-4397.43</v>
      </c>
      <c r="G31" s="6">
        <f>ROUND($E31*0.17,2)+0.01</f>
        <v>-2076.5499999999997</v>
      </c>
      <c r="H31" s="6">
        <f>ROUND($E31*0.047,2)-0.01</f>
        <v>-574.12</v>
      </c>
      <c r="I31" s="6">
        <f>ROUND($E31*0.423,2)</f>
        <v>-5166.9799999999996</v>
      </c>
      <c r="J31" s="11">
        <f t="shared" ref="J31" si="45">E31/K31</f>
        <v>-143.70682352941128</v>
      </c>
      <c r="K31" s="9">
        <v>85</v>
      </c>
    </row>
    <row r="32" spans="1:11" ht="15" customHeight="1" x14ac:dyDescent="0.25">
      <c r="A32" s="10">
        <f t="shared" si="2"/>
        <v>46025</v>
      </c>
      <c r="B32" s="6">
        <v>1956007.0400000003</v>
      </c>
      <c r="C32" s="6">
        <v>1719620.53</v>
      </c>
      <c r="D32" s="6">
        <v>34907</v>
      </c>
      <c r="E32" s="6">
        <f t="shared" ref="E32" si="46">B32-C32-D32</f>
        <v>201479.51000000024</v>
      </c>
      <c r="F32" s="6">
        <f>ROUND($E32*0.36,2)+0.01</f>
        <v>72532.62999999999</v>
      </c>
      <c r="G32" s="6">
        <f>ROUND($E32*0.17,2)-0.01</f>
        <v>34251.509999999995</v>
      </c>
      <c r="H32" s="6">
        <f>ROUND($E32*0.047,2)-0.01</f>
        <v>9469.5300000000007</v>
      </c>
      <c r="I32" s="6">
        <f>ROUND($E32*0.423,2)+0.01</f>
        <v>85225.84</v>
      </c>
      <c r="J32" s="11">
        <f t="shared" ref="J32" si="47">E32/K32</f>
        <v>1665.1199173553739</v>
      </c>
      <c r="K32" s="9">
        <v>121</v>
      </c>
    </row>
    <row r="33" spans="1:11" ht="15" customHeight="1" x14ac:dyDescent="0.25">
      <c r="A33" s="10">
        <f t="shared" si="2"/>
        <v>46032</v>
      </c>
      <c r="B33" s="6">
        <v>467476.25</v>
      </c>
      <c r="C33" s="6">
        <v>438619.53</v>
      </c>
      <c r="D33" s="6">
        <v>14266</v>
      </c>
      <c r="E33" s="6">
        <f t="shared" ref="E33" si="48">B33-C33-D33</f>
        <v>14590.719999999972</v>
      </c>
      <c r="F33" s="6">
        <f>ROUND($E33*0.36,2)+0.01</f>
        <v>5252.67</v>
      </c>
      <c r="G33" s="6">
        <f>ROUND($E33*0.17,2)</f>
        <v>2480.42</v>
      </c>
      <c r="H33" s="6">
        <f>ROUND($E33*0.047,2)</f>
        <v>685.76</v>
      </c>
      <c r="I33" s="6">
        <f>ROUND($E33*0.423,2)</f>
        <v>6171.87</v>
      </c>
      <c r="J33" s="11">
        <f t="shared" ref="J33" si="49">E33/K33</f>
        <v>187.06051282051246</v>
      </c>
      <c r="K33" s="9">
        <v>78</v>
      </c>
    </row>
    <row r="34" spans="1:11" ht="15" customHeight="1" x14ac:dyDescent="0.25">
      <c r="A34" s="10">
        <f t="shared" si="2"/>
        <v>46039</v>
      </c>
      <c r="B34" s="6">
        <v>541254.5</v>
      </c>
      <c r="C34" s="6">
        <v>567935.19999999995</v>
      </c>
      <c r="D34" s="6">
        <v>6583</v>
      </c>
      <c r="E34" s="6">
        <f t="shared" ref="E34" si="50">B34-C34-D34</f>
        <v>-33263.699999999953</v>
      </c>
      <c r="F34" s="6">
        <f>ROUND($E34*0.36,2)-0.03</f>
        <v>-11974.960000000001</v>
      </c>
      <c r="G34" s="6">
        <f>ROUND($E34*0.17,2)+0.01</f>
        <v>-5654.82</v>
      </c>
      <c r="H34" s="6">
        <f>ROUND($E34*0.047,2)+0.01</f>
        <v>-1563.38</v>
      </c>
      <c r="I34" s="6">
        <f>ROUND($E34*0.423,2)+0.01</f>
        <v>-14070.539999999999</v>
      </c>
      <c r="J34" s="11">
        <f t="shared" ref="J34" si="51">E34/K34</f>
        <v>-415.79624999999942</v>
      </c>
      <c r="K34" s="9">
        <v>80</v>
      </c>
    </row>
    <row r="35" spans="1:11" ht="15" customHeight="1" x14ac:dyDescent="0.25">
      <c r="A35" s="10">
        <f t="shared" si="2"/>
        <v>46046</v>
      </c>
      <c r="B35" s="6">
        <v>636963.49</v>
      </c>
      <c r="C35" s="6">
        <v>576577.86</v>
      </c>
      <c r="D35" s="6">
        <v>6085</v>
      </c>
      <c r="E35" s="6">
        <f t="shared" ref="E35" si="52">B35-C35-D35</f>
        <v>54300.630000000005</v>
      </c>
      <c r="F35" s="6">
        <f>ROUND($E35*0.36,2)</f>
        <v>19548.23</v>
      </c>
      <c r="G35" s="6">
        <f>ROUND($E35*0.17,2)-0.01</f>
        <v>9231.1</v>
      </c>
      <c r="H35" s="6">
        <f>ROUND($E35*0.047,2)</f>
        <v>2552.13</v>
      </c>
      <c r="I35" s="6">
        <f>ROUND($E35*0.423,2)</f>
        <v>22969.17</v>
      </c>
      <c r="J35" s="11">
        <f t="shared" ref="J35" si="53">E35/K35</f>
        <v>472.17939130434786</v>
      </c>
      <c r="K35" s="9">
        <v>115</v>
      </c>
    </row>
    <row r="36" spans="1:11" ht="15" customHeight="1" x14ac:dyDescent="0.25">
      <c r="A36" s="10">
        <f t="shared" si="2"/>
        <v>46053</v>
      </c>
      <c r="B36" s="6">
        <v>343981.56000000006</v>
      </c>
      <c r="C36" s="6">
        <v>332764.87</v>
      </c>
      <c r="D36" s="6">
        <v>4008</v>
      </c>
      <c r="E36" s="6">
        <f t="shared" ref="E36" si="54">B36-C36-D36</f>
        <v>7208.6900000000605</v>
      </c>
      <c r="F36" s="6">
        <f>ROUND($E36*0.36,2)-0.01</f>
        <v>2595.12</v>
      </c>
      <c r="G36" s="6">
        <f>ROUND($E36*0.17,2)</f>
        <v>1225.48</v>
      </c>
      <c r="H36" s="6">
        <f>ROUND($E36*0.047,2)+0.01</f>
        <v>338.82</v>
      </c>
      <c r="I36" s="6">
        <f>ROUND($E36*0.423,2)-0.01</f>
        <v>3049.27</v>
      </c>
      <c r="J36" s="11">
        <f t="shared" ref="J36" si="55">E36/K36</f>
        <v>118.17524590164034</v>
      </c>
      <c r="K36" s="9">
        <v>61</v>
      </c>
    </row>
    <row r="37" spans="1:11" ht="15" customHeight="1" x14ac:dyDescent="0.25">
      <c r="A37" s="10">
        <f t="shared" si="2"/>
        <v>46060</v>
      </c>
      <c r="B37" s="6">
        <v>315542.93000000005</v>
      </c>
      <c r="C37" s="6">
        <v>276161.09999999998</v>
      </c>
      <c r="D37" s="6">
        <v>4370</v>
      </c>
      <c r="E37" s="6">
        <f t="shared" ref="E37" si="56">B37-C37-D37</f>
        <v>35011.830000000075</v>
      </c>
      <c r="F37" s="6">
        <f>ROUND($E37*0.36,2)-0.02</f>
        <v>12604.24</v>
      </c>
      <c r="G37" s="6">
        <f>ROUND($E37*0.17,2)</f>
        <v>5952.01</v>
      </c>
      <c r="H37" s="6">
        <f>ROUND($E37*0.047,2)</f>
        <v>1645.56</v>
      </c>
      <c r="I37" s="6">
        <f>ROUND($E37*0.423,2)+0.02</f>
        <v>14810.02</v>
      </c>
      <c r="J37" s="11">
        <f t="shared" ref="J37" si="57">E37/K37</f>
        <v>593.42084745762838</v>
      </c>
      <c r="K37" s="9">
        <v>59</v>
      </c>
    </row>
    <row r="38" spans="1:11" ht="15" customHeight="1" x14ac:dyDescent="0.25">
      <c r="A38" s="10">
        <f t="shared" si="2"/>
        <v>46067</v>
      </c>
      <c r="B38" s="6">
        <v>1073302.3399999999</v>
      </c>
      <c r="C38" s="6">
        <v>1068296.67</v>
      </c>
      <c r="D38" s="6">
        <v>4906</v>
      </c>
      <c r="E38" s="6">
        <f t="shared" ref="E38" si="58">B38-C38-D38</f>
        <v>99.669999999925494</v>
      </c>
      <c r="F38" s="6">
        <f>ROUND($E38*0.36,2)-0.01</f>
        <v>35.870000000000005</v>
      </c>
      <c r="G38" s="6">
        <f>ROUND($E38*0.17,2)+0.01</f>
        <v>16.950000000000003</v>
      </c>
      <c r="H38" s="6">
        <f>ROUND($E38*0.047,2)+0.01</f>
        <v>4.6899999999999995</v>
      </c>
      <c r="I38" s="6">
        <f>ROUND($E38*0.423,2)</f>
        <v>42.16</v>
      </c>
      <c r="J38" s="11">
        <f t="shared" ref="J38" si="59">E38/K38</f>
        <v>1.0491578947360578</v>
      </c>
      <c r="K38" s="9">
        <v>95</v>
      </c>
    </row>
    <row r="39" spans="1:11" ht="15" customHeight="1" x14ac:dyDescent="0.25">
      <c r="A39" s="10">
        <f t="shared" si="2"/>
        <v>46074</v>
      </c>
      <c r="B39" s="6">
        <v>1637555</v>
      </c>
      <c r="C39" s="6">
        <v>1507323.25</v>
      </c>
      <c r="D39" s="6">
        <v>33448</v>
      </c>
      <c r="E39" s="6">
        <f t="shared" ref="E39" si="60">B39-C39-D39</f>
        <v>96783.75</v>
      </c>
      <c r="F39" s="6">
        <f>ROUND($E39*0.36,2)+0.02</f>
        <v>34842.17</v>
      </c>
      <c r="G39" s="6">
        <f>ROUND($E39*0.17,2)</f>
        <v>16453.240000000002</v>
      </c>
      <c r="H39" s="6">
        <f>ROUND($E39*0.047,2)-0.02</f>
        <v>4548.82</v>
      </c>
      <c r="I39" s="6">
        <f>ROUND($E39*0.423,2)-0.01</f>
        <v>40939.519999999997</v>
      </c>
      <c r="J39" s="11">
        <f t="shared" ref="J39" si="61">E39/K39</f>
        <v>827.21153846153845</v>
      </c>
      <c r="K39" s="9">
        <v>117</v>
      </c>
    </row>
    <row r="40" spans="1:11" ht="15" customHeight="1" x14ac:dyDescent="0.25">
      <c r="A40" s="10"/>
      <c r="B40" s="6"/>
      <c r="C40" s="6"/>
      <c r="D40" s="6"/>
      <c r="E40" s="6"/>
      <c r="F40" s="6"/>
      <c r="G40" s="6"/>
      <c r="H40" s="6"/>
      <c r="I40" s="6"/>
      <c r="J40" s="11"/>
      <c r="K40" s="9"/>
    </row>
    <row r="41" spans="1:11" ht="15" customHeight="1" thickBot="1" x14ac:dyDescent="0.3">
      <c r="B41" s="7">
        <f t="shared" ref="B41:I41" si="62">SUM(B6:B40)</f>
        <v>29890429.839999996</v>
      </c>
      <c r="C41" s="7">
        <f t="shared" si="62"/>
        <v>27635349.440000005</v>
      </c>
      <c r="D41" s="7">
        <f t="shared" si="62"/>
        <v>647905</v>
      </c>
      <c r="E41" s="7">
        <f t="shared" si="62"/>
        <v>1607175.4</v>
      </c>
      <c r="F41" s="7">
        <f t="shared" si="62"/>
        <v>578583.16</v>
      </c>
      <c r="G41" s="7">
        <f t="shared" si="62"/>
        <v>273219.82000000007</v>
      </c>
      <c r="H41" s="7">
        <f t="shared" si="62"/>
        <v>75537.239999999991</v>
      </c>
      <c r="I41" s="7">
        <f t="shared" si="62"/>
        <v>679835.17999999993</v>
      </c>
      <c r="J41" s="12">
        <f>AVERAGE(J6:J40)</f>
        <v>444.32149255832428</v>
      </c>
      <c r="K41" s="13">
        <f>AVERAGE(K6:K40)</f>
        <v>100.17647058823529</v>
      </c>
    </row>
    <row r="42" spans="1:11" ht="15" customHeight="1" thickTop="1" x14ac:dyDescent="0.25"/>
    <row r="43" spans="1:11" ht="15" customHeight="1" x14ac:dyDescent="0.25">
      <c r="A43" s="15" t="s">
        <v>31</v>
      </c>
    </row>
    <row r="44" spans="1:11" ht="15" customHeight="1" x14ac:dyDescent="0.25">
      <c r="A44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2025-09-25T12:03:27Z</cp:lastPrinted>
  <dcterms:created xsi:type="dcterms:W3CDTF">2017-06-16T18:01:39Z</dcterms:created>
  <dcterms:modified xsi:type="dcterms:W3CDTF">2026-02-27T14:34:58Z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